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88FDD256-3B4F-467E-A6CE-DFD072F2CB80}" xr6:coauthVersionLast="47" xr6:coauthVersionMax="47" xr10:uidLastSave="{00000000-0000-0000-0000-000000000000}"/>
  <bookViews>
    <workbookView xWindow="90" yWindow="90" windowWidth="13770" windowHeight="15015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80" r:id="rId3"/>
    <sheet name="XML_export" sheetId="78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Zálohy" sheetId="7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FU!$B$3:$B$17</definedName>
    <definedName name="fin_ur" localSheetId="2">[3]FU!$B$3:$B$17</definedName>
    <definedName name="fin_ur" localSheetId="3">[1]FU!$B$3:$B$17</definedName>
    <definedName name="fin_ur" localSheetId="22">[4]FU!$B$3:$B$17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daně'!$A$1:$B$26</definedName>
    <definedName name="_xlnm.Print_Area" localSheetId="20">Potvr_ZAM!$A$1:$G$52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">UVOD!$A$1:$J$26</definedName>
    <definedName name="_xlnm.Print_Area" localSheetId="3">XML_export!$A$1:$B$25</definedName>
    <definedName name="_xlnm.Print_Area" localSheetId="5">ZAKL_DATA!$A$1:$E$42</definedName>
    <definedName name="_xlnm.Print_Area" localSheetId="22">Zálohy!$A$1:$B$20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FU!$J$3:$J$253</definedName>
    <definedName name="staty" localSheetId="2">[3]FU!$J$3:$J$253</definedName>
    <definedName name="staty" localSheetId="3">[1]FU!$J$3:$J$253</definedName>
    <definedName name="staty" localSheetId="22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4">OFFSET('[6]Finanční úřady'!$H$3,,,COUNTIF('[6]Finanční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OFFSET(FU!$H$3,,,COUNTIF(FU!$H$3:$H$204,"?*"))</definedName>
    <definedName name="validation_list2" localSheetId="2">OFFSET([3]FU!$H$3,,,COUNTIF([3]FU!$H$3:$H$204,"?*"))</definedName>
    <definedName name="validation_list2" localSheetId="3">OFFSET('[6]Finanční úřady'!$H$3,,,COUNTIF('[6]Finanční úřady'!$H$3:$H$204,"?*"))</definedName>
    <definedName name="validation_list2" localSheetId="22">OFFSET([4]FU!$H$3,,,COUNTIF([4]FU!$H$3:$H$204,"?*"))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OFFSET(FU!$Q$3,,,COUNTIF(FU!$Q$3:$Q$1699,"?*"))</definedName>
    <definedName name="vl_cinnosti" localSheetId="2">OFFSET([3]FU!$Q$3,,,COUNTIF([3]FU!$Q$3:$Q$1699,"?*"))</definedName>
    <definedName name="vl_cinnosti" localSheetId="3">OFFSET([1]FU!$Q$3,,,COUNTIF([1]FU!$Q$3:$Q$1699,"?*"))</definedName>
    <definedName name="vl_cinnosti" localSheetId="22">OFFSET([4]FU!$Q$3,,,COUNTIF([4]FU!$Q$3:$Q$1699,"?*"))</definedName>
    <definedName name="vl_cinnosti">OFFSET(FU!$Q$3,,,COUNTIF(FU!$Q$3:$Q$1699,"?*"))</definedName>
    <definedName name="vl_cinnosti2" localSheetId="4">OFFSET([7]FU!$Q$3,,,COUNTIF([7]FU!$T$3:$T$992,"?*"))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OFFSET(FU!$Q$3,,,COUNTIF(FU!$T$3:$T$992,"?*"))</definedName>
    <definedName name="vl_cinnosti2" localSheetId="2">OFFSET([3]FU!$Q$3,,,COUNTIF([3]FU!$T$3:$T$992,"?*"))</definedName>
    <definedName name="vl_cinnosti2" localSheetId="3">OFFSET([7]FU!$Q$3,,,COUNTIF([7]FU!$T$3:$T$992,"?*"))</definedName>
    <definedName name="vl_cinnosti2" localSheetId="22">OFFSET([8]FU!$Q$3,,,COUNTIF([8]FU!$T$3:$T$992,"?*"))</definedName>
    <definedName name="vl_cinnosti2">OFFSET(FU!$Q$3,,,COUNTIF(FU!$T$3:$T$992,"?*"))</definedName>
    <definedName name="vl_cinnosti3" localSheetId="4">OFFSET([7]FU!$Q$3,,,COUNTIF([7]FU!$W$3:$W$992,"?*"))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OFFSET(FU!$Q$3,,,COUNTIF(FU!$W$3:$W$992,"?*"))</definedName>
    <definedName name="vl_cinnosti3" localSheetId="2">OFFSET([3]FU!$Q$3,,,COUNTIF([3]FU!$W$3:$W$992,"?*"))</definedName>
    <definedName name="vl_cinnosti3" localSheetId="3">OFFSET([7]FU!$Q$3,,,COUNTIF([7]FU!$W$3:$W$992,"?*"))</definedName>
    <definedName name="vl_cinnosti3" localSheetId="22">OFFSET([8]FU!$Q$3,,,COUNTIF([8]FU!$W$3:$W$992,"?*"))</definedName>
    <definedName name="vl_cinnosti3">OFFSET(FU!$Q$3,,,COUNTIF(FU!$W$3:$W$992,"?*"))</definedName>
    <definedName name="vl_cinnosti4" localSheetId="4">OFFSET([7]FU!$Q$3,,,COUNTIF([7]FU!$Z$3:$Z$992,"?*"))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OFFSET(FU!$Q$3,,,COUNTIF(FU!$Z$3:$Z$992,"?*"))</definedName>
    <definedName name="vl_cinnosti4" localSheetId="2">OFFSET([3]FU!$Q$3,,,COUNTIF([3]FU!$Z$3:$Z$992,"?*"))</definedName>
    <definedName name="vl_cinnosti4" localSheetId="3">OFFSET([7]FU!$Q$3,,,COUNTIF([7]FU!$Z$3:$Z$992,"?*"))</definedName>
    <definedName name="vl_cinnosti4" localSheetId="22">OFFSET([8]FU!$Q$3,,,COUNTIF([8]FU!$Z$3:$Z$992,"?*"))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2">OFFSET([4]FU!$T$3,,,COUNTIF([4]FU!$T$3:$T$6255,"?*"))</definedName>
    <definedName name="VL_Obec">OFFSET([4]FU!$T$3,,,COUNTIF([4]FU!$T$3:$T$6255,"?*"))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3" i="66" l="1"/>
  <c r="E18" i="30"/>
  <c r="A19" i="80" l="1"/>
  <c r="E11" i="31" l="1"/>
  <c r="G12" i="35"/>
  <c r="H34" i="33" l="1"/>
  <c r="H33" i="33"/>
  <c r="H32" i="33"/>
  <c r="F13" i="74"/>
  <c r="F9" i="38" l="1"/>
  <c r="F8" i="38" l="1"/>
  <c r="B41" i="62" l="1"/>
  <c r="B77" i="62"/>
  <c r="B61" i="62"/>
  <c r="B60" i="62"/>
  <c r="B59" i="62"/>
  <c r="B58" i="62"/>
  <c r="A19" i="76"/>
  <c r="E6" i="76"/>
  <c r="B6" i="76"/>
  <c r="B3" i="76"/>
  <c r="A12" i="76" l="1"/>
  <c r="A13" i="76" s="1"/>
  <c r="A14" i="76" s="1"/>
  <c r="A15" i="76" s="1"/>
  <c r="A16" i="76" s="1"/>
  <c r="A17" i="76" s="1"/>
  <c r="J54" i="62" l="1"/>
  <c r="J53" i="62"/>
  <c r="S2" i="62"/>
  <c r="N12" i="62"/>
  <c r="K13" i="75"/>
  <c r="K21" i="31" s="1"/>
  <c r="J13" i="75"/>
  <c r="J21" i="31" s="1"/>
  <c r="I13" i="75"/>
  <c r="H13" i="75"/>
  <c r="G13" i="75"/>
  <c r="F13" i="75"/>
  <c r="E3" i="31"/>
  <c r="F18" i="66" l="1"/>
  <c r="A18" i="66"/>
  <c r="E5" i="67" l="1"/>
  <c r="B5" i="67"/>
  <c r="A20" i="66"/>
  <c r="F20" i="74"/>
  <c r="F15" i="74"/>
  <c r="F14" i="74"/>
  <c r="A23" i="74"/>
  <c r="F16" i="74" l="1"/>
  <c r="F17" i="74" s="1"/>
  <c r="F21" i="74" s="1"/>
  <c r="M4" i="30"/>
  <c r="E4" i="30" s="1"/>
  <c r="D26" i="31" l="1"/>
  <c r="B80" i="62"/>
  <c r="C60" i="32"/>
  <c r="E4" i="31" l="1"/>
  <c r="J78" i="62" l="1"/>
  <c r="N59" i="62"/>
  <c r="L27" i="30" l="1"/>
  <c r="L25" i="30"/>
  <c r="L24" i="30"/>
  <c r="L23" i="30"/>
  <c r="M7" i="30" l="1"/>
  <c r="D46" i="31" s="1"/>
  <c r="B43" i="62" s="1"/>
  <c r="M6" i="30"/>
  <c r="D43" i="31" s="1"/>
  <c r="M5" i="30"/>
  <c r="D40" i="31" s="1"/>
  <c r="E7" i="30" l="1"/>
  <c r="H27" i="35"/>
  <c r="H26" i="35"/>
  <c r="H25" i="35"/>
  <c r="H24" i="35"/>
  <c r="H28" i="35" l="1"/>
  <c r="L26" i="30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F28" i="35" l="1"/>
  <c r="D28" i="35"/>
  <c r="H32" i="1"/>
  <c r="B7" i="67" l="1"/>
  <c r="D30" i="66"/>
  <c r="D11" i="67" s="1"/>
  <c r="B20" i="67" l="1"/>
  <c r="N55" i="62" l="1"/>
  <c r="A30" i="33" l="1"/>
  <c r="H29" i="1" l="1"/>
  <c r="K32" i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M18" i="61" s="1"/>
  <c r="X17" i="61"/>
  <c r="R17" i="61"/>
  <c r="U17" i="61"/>
  <c r="C34" i="27"/>
  <c r="B32" i="1"/>
  <c r="B31" i="1"/>
  <c r="L31" i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E6" i="31"/>
  <c r="B26" i="62" s="1"/>
  <c r="E7" i="31"/>
  <c r="B27" i="62" s="1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A3" i="1"/>
  <c r="A5" i="1"/>
  <c r="M19" i="33"/>
  <c r="B28" i="1"/>
  <c r="J28" i="1"/>
  <c r="B29" i="1"/>
  <c r="B5" i="27"/>
  <c r="A47" i="1"/>
  <c r="F32" i="1"/>
  <c r="G31" i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F11" i="33" l="1"/>
  <c r="N45" i="62" s="1"/>
  <c r="F30" i="33"/>
  <c r="F12" i="33"/>
  <c r="H30" i="33"/>
  <c r="H35" i="33" s="1"/>
  <c r="B25" i="62"/>
  <c r="J21" i="62"/>
  <c r="A60" i="32"/>
  <c r="B51" i="62"/>
  <c r="F18" i="33"/>
  <c r="F17" i="33"/>
  <c r="N43" i="62" s="1"/>
  <c r="G13" i="35"/>
  <c r="G16" i="35" s="1"/>
  <c r="F35" i="33"/>
  <c r="B68" i="62"/>
  <c r="I1" i="35"/>
  <c r="C47" i="27"/>
  <c r="E10" i="30"/>
  <c r="F14" i="33"/>
  <c r="C24" i="27"/>
  <c r="C25" i="27" s="1"/>
  <c r="B24" i="27"/>
  <c r="B25" i="27" s="1"/>
  <c r="C17" i="27"/>
  <c r="V102" i="62"/>
  <c r="G34" i="35"/>
  <c r="G35" i="35" s="1"/>
  <c r="I1" i="33"/>
  <c r="J2" i="62"/>
  <c r="N48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J17" i="62"/>
  <c r="N49" i="62"/>
  <c r="F23" i="33"/>
  <c r="J66" i="62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1" i="62" l="1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F10" i="38" l="1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N76" i="62" l="1"/>
  <c r="F11" i="38"/>
  <c r="F12" i="38" s="1"/>
  <c r="N78" i="62" s="1"/>
  <c r="E16" i="30"/>
  <c r="N74" i="62"/>
  <c r="J11" i="62"/>
  <c r="X24" i="61"/>
  <c r="U24" i="61"/>
  <c r="R24" i="61"/>
  <c r="J10" i="62"/>
  <c r="F39" i="30"/>
  <c r="B20" i="62" s="1"/>
  <c r="M25" i="61"/>
  <c r="U25" i="61"/>
  <c r="R25" i="61"/>
  <c r="X25" i="61"/>
  <c r="D45" i="61"/>
  <c r="D46" i="61" s="1"/>
  <c r="D47" i="61" s="1"/>
  <c r="A100" i="76" l="1"/>
  <c r="E19" i="30"/>
  <c r="K19" i="30" s="1"/>
  <c r="L22" i="30"/>
  <c r="M26" i="61"/>
  <c r="R26" i="61"/>
  <c r="U26" i="61"/>
  <c r="X26" i="61"/>
  <c r="D48" i="61"/>
  <c r="B18" i="62" l="1"/>
  <c r="B22" i="62"/>
  <c r="F23" i="38"/>
  <c r="F15" i="54"/>
  <c r="Z121" i="62" s="1"/>
  <c r="J14" i="62"/>
  <c r="M27" i="61"/>
  <c r="X27" i="61"/>
  <c r="U27" i="61"/>
  <c r="R27" i="61"/>
  <c r="D49" i="61"/>
  <c r="J13" i="62" l="1"/>
  <c r="K20" i="30"/>
  <c r="F32" i="30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3" i="30" l="1"/>
  <c r="F34" i="30" s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N14" i="62" l="1"/>
  <c r="M30" i="61"/>
  <c r="X30" i="61"/>
  <c r="R30" i="61"/>
  <c r="U30" i="61"/>
  <c r="G2" i="61"/>
  <c r="N2" i="62" l="1"/>
  <c r="F13" i="38"/>
  <c r="F16" i="54"/>
  <c r="V121" i="62" s="1"/>
  <c r="M31" i="61"/>
  <c r="U31" i="61"/>
  <c r="X31" i="61"/>
  <c r="R31" i="61"/>
  <c r="N79" i="62" l="1"/>
  <c r="F24" i="38"/>
  <c r="F25" i="38" s="1"/>
  <c r="F26" i="38" s="1"/>
  <c r="F17" i="54"/>
  <c r="F18" i="54" s="1"/>
  <c r="AA121" i="62" s="1"/>
  <c r="M32" i="61"/>
  <c r="U32" i="61"/>
  <c r="X32" i="61"/>
  <c r="R32" i="61"/>
  <c r="F27" i="38" l="1"/>
  <c r="R121" i="62"/>
  <c r="F28" i="38"/>
  <c r="N72" i="62" s="1"/>
  <c r="M33" i="61"/>
  <c r="U33" i="61"/>
  <c r="X33" i="61"/>
  <c r="R33" i="61"/>
  <c r="F30" i="38" l="1"/>
  <c r="N73" i="62"/>
  <c r="M34" i="61"/>
  <c r="U34" i="61"/>
  <c r="R34" i="61"/>
  <c r="X34" i="61"/>
  <c r="N77" i="62" l="1"/>
  <c r="N71" i="62"/>
  <c r="F36" i="30"/>
  <c r="M35" i="61"/>
  <c r="R35" i="61"/>
  <c r="U35" i="61"/>
  <c r="X35" i="61"/>
  <c r="F38" i="30" l="1"/>
  <c r="B11" i="62"/>
  <c r="M36" i="61"/>
  <c r="R36" i="61"/>
  <c r="U36" i="61"/>
  <c r="X36" i="61"/>
  <c r="B7" i="62" l="1"/>
  <c r="E12" i="31"/>
  <c r="B10" i="62"/>
  <c r="M37" i="61"/>
  <c r="X37" i="61"/>
  <c r="R37" i="61"/>
  <c r="U37" i="61"/>
  <c r="D24" i="31" l="1"/>
  <c r="D29" i="31" s="1"/>
  <c r="B9" i="62"/>
  <c r="M38" i="61"/>
  <c r="X38" i="61"/>
  <c r="U38" i="61"/>
  <c r="R38" i="61"/>
  <c r="B17" i="62" l="1"/>
  <c r="B35" i="62"/>
  <c r="D25" i="31"/>
  <c r="M39" i="61"/>
  <c r="X39" i="61"/>
  <c r="R39" i="61"/>
  <c r="U39" i="61"/>
  <c r="D28" i="31" l="1"/>
  <c r="B81" i="62"/>
  <c r="M40" i="61"/>
  <c r="U40" i="61"/>
  <c r="R40" i="61"/>
  <c r="X40" i="61"/>
  <c r="D31" i="31" l="1"/>
  <c r="D30" i="31"/>
  <c r="M41" i="61"/>
  <c r="U41" i="61"/>
  <c r="R41" i="61"/>
  <c r="X41" i="61"/>
  <c r="B4" i="76" l="1"/>
  <c r="B5" i="76" s="1"/>
  <c r="B82" i="62"/>
  <c r="D48" i="31"/>
  <c r="B83" i="62"/>
  <c r="B32" i="62"/>
  <c r="M42" i="61"/>
  <c r="R42" i="61"/>
  <c r="X42" i="61"/>
  <c r="U42" i="61"/>
  <c r="B12" i="76" l="1"/>
  <c r="D55" i="32"/>
  <c r="B46" i="62"/>
  <c r="B13" i="76"/>
  <c r="B15" i="76" s="1"/>
  <c r="B17" i="76" s="1"/>
  <c r="B14" i="76"/>
  <c r="B16" i="76" s="1"/>
  <c r="M43" i="61"/>
  <c r="U43" i="61"/>
  <c r="X43" i="61"/>
  <c r="R43" i="61"/>
  <c r="B114" i="62" l="1"/>
  <c r="B97" i="62"/>
  <c r="B58" i="32"/>
  <c r="B59" i="32"/>
  <c r="B101" i="62"/>
  <c r="C56" i="32"/>
  <c r="B93" i="62"/>
  <c r="B117" i="62"/>
  <c r="B113" i="62"/>
  <c r="B109" i="62"/>
  <c r="B119" i="62"/>
  <c r="B115" i="62"/>
  <c r="B90" i="62"/>
  <c r="B107" i="62"/>
  <c r="B111" i="62"/>
  <c r="B95" i="62"/>
  <c r="B118" i="62"/>
  <c r="B110" i="62"/>
  <c r="B120" i="62"/>
  <c r="B116" i="62"/>
  <c r="G57" i="32"/>
  <c r="B106" i="62" s="1"/>
  <c r="C57" i="32"/>
  <c r="B102" i="62"/>
  <c r="B112" i="62"/>
  <c r="B105" i="62"/>
  <c r="B99" i="62"/>
  <c r="M44" i="6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64CCDC4F-0302-437D-B2B9-1D53AC30B67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2024 v hodnotě 18.900,-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sharedStrings.xml><?xml version="1.0" encoding="utf-8"?>
<sst xmlns="http://schemas.openxmlformats.org/spreadsheetml/2006/main" count="7205" uniqueCount="3739">
  <si>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</si>
  <si>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</si>
  <si>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</si>
  <si>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</si>
  <si>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</si>
  <si>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</si>
  <si>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</si>
  <si>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</si>
  <si>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</si>
  <si>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</si>
  <si>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</si>
  <si>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</si>
  <si>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</si>
  <si>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</si>
  <si>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</si>
  <si>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</si>
  <si>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</si>
  <si>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</si>
  <si>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</si>
  <si>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</si>
  <si>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</si>
  <si>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</si>
  <si>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</si>
  <si>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</si>
  <si>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</si>
  <si>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</si>
  <si>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</si>
  <si>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</si>
  <si>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</si>
  <si>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</si>
  <si>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</si>
  <si>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</si>
  <si>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</si>
  <si>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</si>
  <si>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</si>
  <si>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</si>
  <si>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</si>
  <si>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</si>
  <si>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</si>
  <si>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</si>
  <si>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</si>
  <si>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</si>
  <si>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</si>
  <si>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</si>
  <si>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</si>
  <si>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</si>
  <si>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</si>
  <si>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</si>
  <si>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</si>
  <si>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</si>
  <si>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</si>
  <si>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</si>
  <si>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</si>
  <si>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</si>
  <si>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</si>
  <si>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</si>
  <si>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</si>
  <si>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</si>
  <si>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</si>
  <si>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</si>
  <si>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</si>
  <si>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69a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</si>
  <si>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</si>
  <si>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</si>
  <si>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</si>
  <si>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</si>
  <si>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</si>
  <si>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</si>
  <si>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</si>
  <si>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</si>
  <si>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</si>
  <si>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</si>
  <si>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</si>
  <si>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</si>
  <si>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</si>
  <si>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</si>
  <si>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</si>
  <si>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</si>
  <si>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</si>
  <si>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</si>
  <si>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</si>
  <si>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</si>
  <si>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</si>
  <si>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</si>
  <si>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</si>
  <si>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</si>
  <si>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</si>
  <si>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</si>
  <si>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</si>
  <si>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</si>
  <si>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</si>
  <si>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</si>
  <si>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</si>
  <si>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</si>
  <si>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</si>
  <si>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</si>
  <si>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</si>
  <si>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</si>
  <si>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</si>
  <si>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</si>
  <si>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</si>
  <si>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</si>
  <si>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</si>
  <si>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</si>
  <si>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</si>
  <si>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</si>
  <si>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</si>
  <si>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</si>
  <si>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</si>
  <si>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</si>
  <si>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</si>
  <si>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</si>
  <si>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</si>
  <si>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</si>
  <si>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</si>
  <si>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</si>
  <si>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</si>
  <si>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</si>
  <si>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</si>
  <si>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</si>
  <si>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</si>
  <si>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</si>
  <si>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</si>
  <si>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</si>
  <si>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</si>
  <si>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</si>
  <si>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</si>
  <si>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</si>
  <si>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</si>
  <si>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</si>
  <si>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</si>
  <si>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</si>
  <si>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</si>
  <si>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</si>
  <si>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</si>
  <si>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</si>
  <si>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</si>
  <si>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</si>
  <si>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</si>
  <si>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</si>
  <si>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</si>
  <si>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</si>
  <si>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</si>
  <si>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</si>
  <si>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</si>
  <si>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</si>
  <si>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</si>
  <si>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</si>
  <si>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</si>
  <si>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</si>
  <si>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</si>
  <si>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</si>
  <si>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</si>
  <si>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</si>
  <si>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</si>
  <si>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</si>
  <si>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</si>
  <si>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</si>
  <si>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</si>
  <si>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</si>
  <si>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</si>
  <si>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</si>
  <si>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</si>
  <si>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</si>
  <si>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</si>
  <si>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</si>
  <si>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</si>
  <si>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</si>
  <si>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</si>
  <si>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</si>
  <si>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</si>
  <si>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</si>
  <si>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</si>
  <si>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</si>
  <si>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</si>
  <si>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</si>
  <si>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</si>
  <si>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</si>
  <si>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</si>
  <si>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</si>
  <si>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</si>
  <si>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</si>
  <si>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</si>
  <si>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</si>
  <si>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</si>
  <si>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</si>
  <si>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</si>
  <si>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</si>
  <si>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</si>
  <si>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</si>
  <si>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</si>
  <si>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</si>
  <si>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</si>
  <si>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</si>
  <si>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</si>
  <si>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</si>
  <si>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</si>
  <si>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</si>
  <si>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</si>
  <si>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</si>
  <si>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</si>
  <si>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</si>
  <si>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</si>
  <si>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</si>
  <si>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</si>
  <si>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</si>
  <si>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</si>
  <si>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</si>
  <si>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</si>
  <si>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</si>
  <si>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</si>
  <si>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</si>
  <si>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</si>
  <si>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</si>
  <si>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</si>
  <si>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</si>
  <si>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</si>
  <si>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</si>
  <si>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</si>
  <si>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</si>
  <si>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</si>
  <si>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</si>
  <si>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</si>
  <si>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</si>
  <si>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</si>
  <si>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</si>
  <si>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</si>
  <si>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</si>
  <si>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</si>
  <si>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</si>
  <si>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</si>
  <si>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</si>
  <si>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</si>
  <si>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</si>
  <si>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</si>
  <si>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</si>
  <si>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</si>
  <si>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</si>
  <si>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</si>
  <si>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</si>
  <si>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</si>
  <si>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</si>
  <si>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</si>
  <si>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</si>
  <si>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</si>
  <si>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</si>
  <si>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</si>
  <si>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</si>
  <si>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</si>
  <si>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</si>
  <si>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</si>
  <si>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</si>
  <si>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</si>
  <si>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</si>
  <si>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</si>
  <si>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</si>
  <si>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</si>
  <si>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</si>
  <si>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</si>
  <si>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</si>
  <si>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</si>
  <si>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</si>
  <si>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</si>
  <si>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</si>
  <si>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</si>
  <si>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</si>
  <si>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</si>
  <si>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</si>
  <si>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</si>
  <si>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</si>
  <si>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</si>
  <si>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</si>
  <si>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</si>
  <si>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</si>
  <si>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</si>
  <si>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</si>
  <si>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</si>
  <si>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</si>
  <si>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</si>
  <si>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</si>
  <si>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</si>
  <si>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</si>
  <si>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</si>
  <si>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</si>
  <si>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</si>
  <si>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</si>
  <si>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</si>
  <si>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</si>
  <si>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</si>
  <si>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</si>
  <si>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</si>
  <si>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</si>
  <si>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</si>
  <si>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</si>
  <si>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</si>
  <si>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</si>
  <si>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</si>
  <si>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</si>
  <si>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</si>
  <si>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</si>
  <si>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</si>
  <si>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</si>
  <si>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</si>
  <si>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</si>
  <si>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</si>
  <si>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</si>
  <si>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</si>
  <si>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</si>
  <si>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</si>
  <si>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</si>
  <si>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</si>
  <si>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</si>
  <si>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</si>
  <si>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</si>
  <si>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</si>
  <si>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</si>
  <si>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</si>
  <si>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</si>
  <si>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</si>
  <si>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</si>
  <si>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</si>
  <si>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</si>
  <si>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</si>
  <si>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</si>
  <si>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</si>
  <si>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</si>
  <si>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</si>
  <si>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</si>
  <si>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</si>
  <si>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</si>
  <si>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</si>
  <si>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</si>
  <si>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</si>
  <si>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</si>
  <si>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</si>
  <si>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</si>
  <si>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</si>
  <si>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</si>
  <si>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</si>
  <si>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</si>
  <si>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</si>
  <si>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</si>
  <si>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</si>
  <si>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</si>
  <si>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</si>
  <si>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</si>
  <si>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</si>
  <si>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</si>
  <si>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</si>
  <si>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</si>
  <si>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</si>
  <si>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</si>
  <si>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</si>
  <si>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</si>
  <si>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</si>
  <si>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</si>
  <si>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</si>
  <si>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</si>
  <si>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</si>
  <si>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</si>
  <si>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</si>
  <si>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</si>
  <si>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</si>
  <si>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</si>
  <si>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</si>
  <si>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</si>
  <si>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</si>
  <si>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</si>
  <si>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</si>
  <si>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</si>
  <si>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</si>
  <si>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</si>
  <si>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</si>
  <si>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</si>
  <si>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</si>
  <si>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</si>
  <si>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</si>
  <si>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</si>
  <si>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</si>
  <si>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</si>
  <si>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</si>
  <si>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</si>
  <si>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</si>
  <si>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</si>
  <si>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</si>
  <si>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</si>
  <si>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</si>
  <si>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</si>
  <si>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</si>
  <si>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</si>
  <si>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</si>
  <si>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</si>
  <si>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</si>
  <si>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</si>
  <si>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</si>
  <si>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</si>
  <si>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</si>
  <si>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</si>
  <si>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</si>
  <si>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</si>
  <si>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</si>
  <si>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</si>
  <si>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</si>
  <si>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</si>
  <si>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</si>
  <si>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</si>
  <si>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</si>
  <si>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</si>
  <si>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</si>
  <si>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</si>
  <si>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</si>
  <si>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</si>
  <si>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</si>
  <si>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</si>
  <si>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</si>
  <si>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</si>
  <si>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</si>
  <si>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</si>
  <si>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</si>
  <si>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</si>
  <si>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</si>
  <si>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</si>
  <si>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</si>
  <si>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</si>
  <si>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</si>
  <si>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</si>
  <si>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</si>
  <si>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</si>
  <si>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</si>
  <si>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</si>
  <si>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</si>
  <si>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</si>
  <si>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</si>
  <si>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</si>
  <si>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</si>
  <si>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</si>
  <si>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</si>
  <si>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</si>
  <si>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</si>
  <si>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</si>
  <si>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</si>
  <si>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</si>
  <si>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</si>
  <si>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</si>
  <si>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</si>
  <si>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</si>
  <si>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</si>
  <si>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</si>
  <si>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</si>
  <si>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</si>
  <si>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</si>
  <si>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</si>
  <si>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</si>
  <si>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</si>
  <si>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</si>
  <si>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</si>
  <si>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</si>
  <si>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</si>
  <si>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</si>
  <si>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</si>
  <si>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</si>
  <si>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</si>
  <si>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</si>
  <si>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</si>
  <si>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</si>
  <si>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</si>
  <si>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</si>
  <si>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</si>
  <si>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</si>
  <si>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</si>
  <si>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</si>
  <si>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</si>
  <si>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</si>
  <si>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</si>
  <si>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</si>
  <si>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</si>
  <si>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</si>
  <si>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</si>
  <si>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</si>
  <si>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</si>
  <si>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</si>
  <si>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</si>
  <si>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</si>
  <si>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</si>
  <si>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</si>
  <si>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</si>
  <si>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</si>
  <si>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</si>
  <si>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</si>
  <si>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</si>
  <si>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</si>
  <si>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</si>
  <si>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</si>
  <si>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</si>
  <si>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</si>
  <si>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</si>
  <si>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</si>
  <si>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</si>
  <si>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</si>
  <si>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</si>
  <si>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</si>
  <si>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</si>
  <si>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</si>
  <si>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</si>
  <si>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</si>
  <si>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</si>
  <si>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</si>
  <si>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</si>
  <si>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</si>
  <si>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</si>
  <si>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</si>
  <si>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</si>
  <si>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</si>
  <si>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</si>
  <si>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</si>
  <si>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</si>
  <si>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</si>
  <si>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</si>
  <si>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</si>
  <si>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</si>
  <si>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</si>
  <si>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</si>
  <si>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</si>
  <si>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</si>
  <si>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</si>
  <si>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</si>
  <si>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</si>
  <si>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</si>
  <si>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</si>
  <si>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</si>
  <si>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</si>
  <si>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</si>
  <si>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</si>
  <si>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</si>
  <si>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</si>
  <si>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</si>
  <si>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</si>
  <si>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</si>
  <si>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</si>
  <si>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</si>
  <si>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</si>
  <si>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</si>
  <si>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</si>
  <si>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</si>
  <si>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</si>
  <si>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</si>
  <si>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</si>
  <si>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</si>
  <si>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</si>
  <si>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</si>
  <si>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</si>
  <si>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</si>
  <si>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</si>
  <si>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</si>
  <si>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</si>
  <si>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</si>
  <si>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</si>
  <si>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</si>
  <si>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</si>
  <si>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</si>
  <si>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</si>
  <si>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</si>
  <si>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</si>
  <si>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</si>
  <si>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</si>
  <si>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</si>
  <si>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</si>
  <si>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</si>
  <si>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</si>
  <si>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</si>
  <si>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</si>
  <si>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</si>
  <si>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</si>
  <si>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</si>
  <si>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</si>
  <si>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</si>
  <si>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</si>
  <si>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</si>
  <si>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</si>
  <si>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</si>
  <si>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</si>
  <si>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</si>
  <si>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</si>
  <si>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</si>
  <si>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</si>
  <si>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</si>
  <si>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</si>
  <si>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</si>
  <si>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</si>
  <si>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</si>
  <si>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</si>
  <si>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</si>
  <si>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</si>
  <si>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</si>
  <si>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</si>
  <si>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</si>
  <si>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</si>
  <si>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</si>
  <si>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</si>
  <si>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</si>
  <si>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</si>
  <si>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</si>
  <si>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</si>
  <si>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</si>
  <si>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</si>
  <si>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</si>
  <si>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</si>
  <si>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</si>
  <si>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</si>
  <si>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</si>
  <si>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</si>
  <si>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</si>
  <si>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</si>
  <si>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</si>
  <si>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</si>
  <si>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</si>
  <si>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</si>
  <si>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</si>
  <si>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</si>
  <si>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</si>
  <si>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</si>
  <si>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</si>
  <si>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</si>
  <si>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</si>
  <si>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</si>
  <si>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</si>
  <si>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</si>
  <si>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</si>
  <si>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</si>
  <si>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</si>
  <si>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</si>
  <si>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</si>
  <si>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</si>
  <si>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</si>
  <si>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</si>
  <si>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</si>
  <si>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</si>
  <si>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</si>
  <si>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</si>
  <si>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</si>
  <si>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</si>
  <si>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</si>
  <si>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</si>
  <si>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</si>
  <si>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</si>
  <si>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</si>
  <si>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</si>
  <si>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</si>
  <si>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</si>
  <si>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</si>
  <si>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</si>
  <si>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</si>
  <si>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</si>
  <si>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</si>
  <si>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</si>
  <si>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</si>
  <si>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</si>
  <si>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</si>
  <si>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</si>
  <si>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</si>
  <si>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</si>
  <si>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</si>
  <si>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</si>
  <si>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</si>
  <si>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</si>
  <si>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</si>
  <si>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</si>
  <si>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</si>
  <si>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</si>
  <si>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</si>
  <si>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</si>
  <si>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</si>
  <si>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</si>
  <si>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</si>
  <si>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</si>
  <si>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</si>
  <si>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</si>
  <si>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</si>
  <si>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</si>
  <si>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</si>
  <si>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</si>
  <si>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</si>
  <si>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</si>
  <si>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</si>
  <si>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</si>
  <si>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</si>
  <si>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</si>
  <si>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</si>
  <si>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</si>
  <si>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</si>
  <si>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</si>
  <si>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</si>
  <si>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</si>
  <si>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</si>
  <si>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</si>
  <si>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</si>
  <si>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</si>
  <si>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</si>
  <si>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</si>
  <si>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</si>
  <si>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</si>
  <si>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</si>
  <si>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</si>
  <si>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</si>
  <si>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</si>
  <si>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</si>
  <si>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</si>
  <si>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</si>
  <si>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</si>
  <si>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</si>
  <si>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</si>
  <si>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</si>
  <si>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</si>
  <si>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</si>
  <si>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</si>
  <si>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</si>
  <si>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</si>
  <si>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</si>
  <si>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</si>
  <si>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</si>
  <si>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</si>
  <si>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</si>
  <si>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</si>
  <si>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</si>
  <si>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</si>
  <si>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</si>
  <si>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</si>
  <si>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</si>
  <si>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</si>
  <si>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</si>
  <si>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</si>
  <si>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</si>
  <si>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</si>
  <si>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</si>
  <si>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</si>
  <si>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</si>
  <si>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</si>
  <si>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</si>
  <si>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</si>
  <si>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</si>
  <si>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</si>
  <si>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</si>
  <si>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</si>
  <si>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</si>
  <si>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</si>
  <si>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</si>
  <si>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</si>
  <si>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</si>
  <si>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</si>
  <si>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</si>
  <si>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</si>
  <si>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</si>
  <si>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</si>
  <si>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</si>
  <si>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</si>
  <si>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</si>
  <si>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</si>
  <si>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</si>
  <si>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</si>
  <si>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</si>
  <si>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</si>
  <si>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</si>
  <si>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</si>
  <si>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</si>
  <si>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</si>
  <si>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</si>
  <si>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</si>
  <si>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</si>
  <si>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</si>
  <si>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</si>
  <si>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</si>
  <si>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</si>
  <si>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</si>
  <si>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</si>
  <si>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</si>
  <si>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</si>
  <si>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</si>
  <si>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</si>
  <si>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</si>
  <si>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</si>
  <si>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</si>
  <si>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</si>
  <si>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</si>
  <si>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</si>
  <si>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</si>
  <si>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</si>
  <si>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</si>
  <si>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</si>
  <si>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</si>
  <si>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</si>
  <si>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</si>
  <si>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</si>
  <si>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</si>
  <si>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</si>
  <si>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</si>
  <si>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</si>
  <si>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</si>
  <si>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</si>
  <si>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</si>
  <si>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</si>
  <si>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</si>
  <si>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</si>
  <si>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</si>
  <si>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</si>
  <si>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</si>
  <si>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</si>
  <si>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</si>
  <si>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</si>
  <si>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</si>
  <si>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</si>
  <si>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</si>
  <si>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</si>
  <si>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</si>
  <si>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</si>
  <si>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</si>
  <si>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</si>
  <si>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</si>
  <si>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</si>
  <si>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</si>
  <si>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</si>
  <si>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</si>
  <si>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</si>
  <si>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</si>
  <si>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</si>
  <si>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</si>
  <si>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</si>
  <si>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</si>
  <si>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</si>
  <si>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</si>
  <si>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</si>
  <si>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</si>
  <si>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</si>
  <si>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</si>
  <si>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</si>
  <si>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</si>
  <si>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</si>
  <si>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</si>
  <si>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</si>
  <si>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</si>
  <si>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</si>
  <si>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</si>
  <si>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</si>
  <si>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</si>
  <si>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</si>
  <si>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</si>
  <si>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</si>
  <si>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</si>
  <si>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</si>
  <si>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</si>
  <si>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</si>
  <si>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</si>
  <si>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</si>
  <si>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</si>
  <si>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</si>
  <si>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</si>
  <si>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</si>
  <si>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</si>
  <si>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</si>
  <si>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</si>
  <si>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</si>
  <si>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</si>
  <si>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</si>
  <si>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</si>
  <si>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</si>
  <si>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</si>
  <si>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</si>
  <si>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</si>
  <si>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</si>
  <si>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</si>
  <si>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</si>
  <si>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</si>
  <si>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</si>
  <si>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</si>
  <si>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</si>
  <si>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</si>
  <si>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</si>
  <si>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</si>
  <si>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</si>
  <si>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</si>
  <si>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</si>
  <si>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</si>
  <si>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</si>
  <si>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</si>
  <si>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</si>
  <si>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</si>
  <si>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</si>
  <si>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</si>
  <si>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</si>
  <si>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</si>
  <si>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</si>
  <si>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</si>
  <si>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</si>
  <si>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</si>
  <si>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</si>
  <si>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</si>
  <si>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</si>
  <si>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</si>
  <si>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</si>
  <si>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</si>
  <si>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</si>
  <si>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</si>
  <si>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</si>
  <si>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</si>
  <si>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</si>
  <si>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</si>
  <si>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</si>
  <si>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</si>
  <si>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</si>
  <si>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</si>
  <si>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</si>
  <si>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</si>
  <si>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</si>
  <si>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</si>
  <si>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</si>
  <si>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</si>
  <si>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</si>
  <si>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</si>
  <si>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</si>
  <si>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</si>
  <si>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</si>
  <si>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</si>
  <si>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</si>
  <si>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</si>
  <si>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</si>
  <si>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</si>
  <si>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</si>
  <si>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</si>
  <si>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</si>
  <si>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</si>
  <si>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</si>
  <si>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</si>
  <si>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</si>
  <si>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</si>
  <si>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</si>
  <si>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</si>
  <si>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</si>
  <si>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</si>
  <si>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</si>
  <si>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</si>
  <si>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</si>
  <si>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</si>
  <si>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</si>
  <si>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</si>
  <si>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</si>
  <si>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</si>
  <si>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</si>
  <si>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</si>
  <si>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</si>
  <si>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</si>
  <si>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</si>
  <si>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</si>
  <si>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</si>
  <si>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</si>
  <si>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</si>
  <si>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</si>
  <si>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</si>
  <si>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</si>
  <si>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</si>
  <si>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</si>
  <si>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</si>
  <si>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</si>
  <si>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</si>
  <si>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</si>
  <si>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</si>
  <si>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</si>
  <si>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</si>
  <si>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</si>
  <si>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</si>
  <si>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</si>
  <si>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</si>
  <si>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</si>
  <si>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</si>
  <si>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</si>
  <si>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</si>
  <si>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</si>
  <si>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</si>
  <si>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</si>
  <si>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</si>
  <si>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</si>
  <si>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</si>
  <si>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</si>
  <si>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</si>
  <si>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</si>
  <si>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</si>
  <si>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</si>
  <si>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</si>
  <si>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</si>
  <si>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</si>
  <si>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</si>
  <si>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</si>
  <si>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</si>
  <si>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</si>
  <si>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</si>
  <si>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</si>
  <si>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</si>
  <si>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</si>
  <si>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</si>
  <si>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</si>
  <si>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</si>
  <si>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</si>
  <si>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</si>
  <si>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</si>
  <si>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</si>
  <si>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</si>
  <si>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</si>
  <si>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</si>
  <si>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</si>
  <si>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</si>
  <si>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</si>
  <si>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</si>
  <si>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</si>
  <si>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</si>
  <si>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</si>
  <si>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</si>
  <si>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</si>
  <si>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</si>
  <si>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</si>
  <si>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</si>
  <si>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</si>
  <si>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</si>
  <si>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</si>
  <si>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</si>
  <si>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</si>
  <si>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</si>
  <si>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</si>
  <si>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</si>
  <si>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</si>
  <si>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</si>
  <si>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</si>
  <si>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</si>
  <si>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</si>
  <si>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</si>
  <si>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</si>
  <si>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</si>
  <si>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</si>
  <si>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</si>
  <si>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</si>
  <si>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</si>
  <si>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</si>
  <si>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</si>
  <si>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</si>
  <si>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</si>
  <si>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</si>
  <si>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</si>
  <si>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</si>
  <si>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</si>
  <si>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</si>
  <si>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</si>
  <si>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</si>
  <si>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</si>
  <si>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</si>
  <si>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</si>
  <si>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</si>
  <si>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</si>
  <si>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</si>
  <si>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</si>
  <si>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</si>
  <si>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</si>
  <si>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</si>
  <si>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</si>
  <si>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</si>
  <si>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</si>
  <si>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</si>
  <si>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</si>
  <si>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</si>
  <si>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</si>
  <si>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</si>
  <si>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</si>
  <si>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</si>
  <si>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</si>
  <si>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</si>
  <si>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</si>
  <si>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</si>
  <si>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</si>
  <si>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</si>
  <si>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</si>
  <si>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</si>
  <si>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</si>
  <si>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</si>
  <si>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</si>
  <si>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</si>
  <si>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</si>
  <si>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</si>
  <si>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</si>
  <si>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</si>
  <si>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</si>
  <si>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</si>
  <si>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</si>
  <si>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</si>
  <si>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</si>
  <si>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</si>
  <si>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</si>
  <si>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</si>
  <si>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</si>
  <si>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</si>
  <si>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</si>
  <si>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</si>
  <si>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</si>
  <si>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</si>
  <si>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</si>
  <si>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</si>
  <si>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</si>
  <si>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</si>
  <si>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</si>
  <si>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</si>
  <si>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</si>
  <si>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</si>
  <si>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</si>
  <si>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</si>
  <si>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</si>
  <si>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</si>
  <si>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</si>
  <si>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</si>
  <si>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</si>
  <si>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</si>
  <si>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</si>
  <si>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</si>
  <si>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</si>
  <si>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</si>
  <si>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</si>
  <si>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</si>
  <si>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</si>
  <si>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</si>
  <si>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</si>
  <si>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</si>
  <si>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</si>
  <si>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</si>
  <si>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</si>
  <si>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</si>
  <si>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</si>
  <si>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</si>
  <si>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</si>
  <si>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</si>
  <si>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</si>
  <si>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</si>
  <si>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</si>
  <si>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</si>
  <si>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</si>
  <si>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</si>
  <si>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</si>
  <si>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</si>
  <si>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</si>
  <si>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</si>
  <si>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</si>
  <si>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</si>
  <si>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</si>
  <si>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</si>
  <si>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</si>
  <si>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</si>
  <si>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</si>
  <si>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</si>
  <si>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</si>
  <si>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</si>
  <si>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</si>
  <si>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</si>
  <si>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</si>
  <si>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</si>
  <si>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</si>
  <si>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</si>
  <si>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</si>
  <si>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</si>
  <si>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</si>
  <si>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</si>
  <si>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</si>
  <si>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</si>
  <si>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</si>
  <si>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</si>
  <si>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</si>
  <si>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</si>
  <si>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</si>
  <si>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</si>
  <si>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</si>
  <si>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</si>
  <si>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</si>
  <si>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</si>
  <si>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</si>
  <si>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</si>
  <si>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</si>
  <si>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</si>
  <si>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</si>
  <si>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</si>
  <si>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</si>
  <si>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</si>
  <si>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</si>
  <si>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</si>
  <si>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</si>
  <si>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</si>
  <si>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</si>
  <si>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</si>
  <si>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</si>
  <si>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</si>
  <si>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</si>
  <si>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</si>
  <si>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</si>
  <si>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</si>
  <si>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</si>
  <si>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</si>
  <si>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</si>
  <si>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</si>
  <si>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</si>
  <si>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</si>
  <si>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</si>
  <si>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</si>
  <si>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</si>
  <si>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</si>
  <si>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</si>
  <si>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</si>
  <si>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</si>
  <si>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</si>
  <si>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</si>
  <si>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</si>
  <si>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</si>
  <si>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</si>
  <si>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</si>
  <si>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</si>
  <si>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</si>
  <si>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</si>
  <si>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</si>
  <si>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</si>
  <si>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</si>
  <si>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</si>
  <si>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</si>
  <si>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</si>
  <si>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</si>
  <si>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</si>
  <si>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</si>
  <si>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</si>
  <si>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</si>
  <si>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</si>
  <si>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</si>
  <si>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</si>
  <si>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</si>
  <si>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</si>
  <si>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</si>
  <si>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</si>
  <si>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</si>
  <si>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</si>
  <si>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</si>
  <si>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</si>
  <si>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</si>
  <si>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</si>
  <si>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</si>
  <si>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</si>
  <si>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</si>
  <si>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</si>
  <si>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</si>
  <si>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</si>
  <si>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</si>
  <si>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</si>
  <si>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</si>
  <si>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</si>
  <si>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</si>
  <si>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</si>
  <si>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</si>
  <si>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</si>
  <si>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</si>
  <si>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</si>
  <si>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</si>
  <si>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</si>
  <si>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</si>
  <si>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</si>
  <si>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</si>
  <si>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</si>
  <si>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</si>
  <si>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</si>
  <si>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</si>
  <si>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</si>
  <si>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</si>
  <si>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</si>
  <si>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</si>
  <si>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</si>
  <si>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</si>
  <si>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</si>
  <si>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</si>
  <si>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</si>
  <si>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</si>
  <si>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</si>
  <si>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</si>
  <si>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</si>
  <si>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</si>
  <si>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</si>
  <si>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</si>
  <si>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</si>
  <si>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</si>
  <si>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</si>
  <si>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</si>
  <si>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</si>
  <si>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</si>
  <si>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</si>
  <si>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</si>
  <si>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</si>
  <si>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</si>
  <si>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</si>
  <si>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</si>
  <si>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</si>
  <si>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</si>
  <si>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</si>
  <si>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</si>
  <si>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</si>
  <si>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</si>
  <si>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</si>
  <si>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</si>
  <si>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</si>
  <si>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</si>
  <si>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</si>
  <si>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</si>
  <si>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</si>
  <si>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</si>
  <si>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</si>
  <si>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</si>
  <si>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</si>
  <si>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</si>
  <si>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</si>
  <si>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</si>
  <si>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</si>
  <si>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</si>
  <si>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</si>
  <si>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</si>
  <si>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</si>
  <si>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</si>
  <si>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</si>
  <si>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</si>
  <si>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</si>
  <si>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</si>
  <si>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</si>
  <si>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</si>
  <si>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</si>
  <si>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</si>
  <si>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</si>
  <si>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</si>
  <si>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</si>
  <si>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</si>
  <si>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</si>
  <si>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</si>
  <si>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</si>
  <si>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</si>
  <si>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</si>
  <si>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</si>
  <si>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</si>
  <si>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</si>
  <si>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</si>
  <si>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</si>
  <si>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</si>
  <si>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</si>
  <si>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</si>
  <si>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</si>
  <si>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</si>
  <si>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</si>
  <si>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</si>
  <si>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</si>
  <si>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</si>
  <si>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</si>
  <si>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</si>
  <si>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</si>
  <si>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</si>
  <si>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</si>
  <si>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</si>
  <si>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</si>
  <si>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</si>
  <si>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</si>
  <si>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</si>
  <si>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</si>
  <si>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</si>
  <si>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</si>
  <si>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</si>
  <si>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</si>
  <si>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</si>
  <si>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</si>
  <si>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</si>
  <si>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</si>
  <si>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</si>
  <si>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</si>
  <si>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</si>
  <si>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</si>
  <si>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</si>
  <si>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</si>
  <si>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</si>
  <si>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</si>
  <si>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</si>
  <si>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</si>
  <si>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</si>
  <si>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</si>
  <si>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</si>
  <si>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</si>
  <si>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</si>
  <si>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</si>
  <si>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</si>
  <si>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</si>
  <si>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</si>
  <si>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</si>
  <si>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</si>
  <si>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</si>
  <si>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</si>
  <si>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</si>
  <si>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</si>
  <si>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</si>
  <si>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</si>
  <si>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</si>
  <si>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</si>
  <si>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</si>
  <si>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</si>
  <si>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</si>
  <si>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</si>
  <si>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</si>
  <si>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</si>
  <si>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</si>
  <si>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</si>
  <si>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</si>
  <si>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</si>
  <si>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</si>
  <si>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</si>
  <si>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</si>
  <si>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</si>
  <si>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</si>
  <si>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</si>
  <si>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</si>
  <si>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</si>
  <si>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</si>
  <si>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</si>
  <si>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</si>
  <si>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</si>
  <si>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</si>
  <si>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</si>
  <si>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</si>
  <si>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</si>
  <si>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</si>
  <si>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</si>
  <si>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</si>
  <si>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</si>
  <si>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</si>
  <si>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</si>
  <si>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</si>
  <si>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</si>
  <si>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</si>
  <si>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</si>
  <si>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</si>
  <si>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</si>
  <si>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</si>
  <si>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</si>
  <si>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</si>
  <si>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</si>
  <si>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</si>
  <si>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</si>
  <si>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</si>
  <si>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</si>
  <si>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</si>
  <si>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</si>
  <si>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</si>
  <si>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</si>
  <si>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</si>
  <si>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</si>
  <si>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</si>
  <si>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</si>
  <si>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</si>
  <si>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</si>
  <si>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</si>
  <si>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</si>
  <si>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</si>
  <si>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</si>
  <si>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</si>
  <si>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</si>
  <si>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</si>
  <si>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</si>
  <si>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</si>
  <si>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</si>
  <si>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</si>
  <si>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</si>
  <si>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</si>
  <si>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</si>
  <si>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</si>
  <si>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</si>
  <si>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</si>
  <si>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</si>
  <si>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</si>
  <si>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</si>
  <si>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</si>
  <si>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</si>
  <si>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</si>
  <si>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</si>
  <si>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</si>
  <si>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</si>
  <si>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</si>
  <si>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</si>
  <si>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</si>
  <si>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</si>
  <si>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</si>
  <si>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</si>
  <si>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</si>
  <si>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</si>
  <si>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</si>
  <si>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</si>
  <si>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</si>
  <si>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</si>
  <si>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</si>
  <si>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</si>
  <si>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</si>
  <si>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</si>
  <si>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</si>
  <si>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</si>
  <si>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</si>
  <si>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</si>
  <si>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</si>
  <si>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</si>
  <si>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</si>
  <si>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</si>
  <si>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</si>
  <si>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</si>
  <si>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</si>
  <si>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</si>
  <si>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</si>
  <si>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</si>
  <si>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</si>
  <si>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</si>
  <si>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</si>
  <si>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</si>
  <si>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</si>
  <si>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</si>
  <si>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</si>
  <si>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</si>
  <si>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</si>
  <si>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</si>
  <si>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</si>
  <si>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</si>
  <si>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</si>
  <si>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</si>
  <si>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</si>
  <si>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</si>
  <si>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</si>
  <si>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</si>
  <si>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</si>
  <si>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</si>
  <si>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</si>
  <si>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</si>
  <si>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</si>
  <si>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</si>
  <si>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</si>
  <si>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</si>
  <si>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</si>
  <si>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</si>
  <si>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</si>
  <si>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</si>
  <si>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</si>
  <si>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</si>
  <si>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</si>
  <si>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</si>
  <si>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</si>
  <si>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</si>
  <si>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</si>
  <si>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</si>
  <si>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</si>
  <si>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</si>
  <si>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</si>
  <si>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</si>
  <si>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</si>
  <si>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</si>
  <si>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</si>
  <si>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</si>
  <si>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</si>
  <si>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</si>
  <si>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</si>
  <si>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</si>
  <si>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</si>
  <si>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</si>
  <si>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</si>
  <si>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</si>
  <si>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</si>
  <si>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</si>
  <si>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</si>
  <si>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</si>
  <si>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</si>
  <si>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</si>
  <si>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</si>
  <si>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</si>
  <si>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</si>
  <si>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</si>
  <si>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</si>
  <si>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</si>
  <si>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</si>
  <si>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</si>
  <si>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</si>
  <si>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</si>
  <si>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</si>
  <si>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</si>
  <si>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</si>
  <si>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</si>
  <si>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</si>
  <si>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</si>
  <si>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</si>
  <si>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</si>
  <si>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</si>
  <si>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</si>
  <si>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</si>
  <si>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</si>
  <si>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</si>
  <si>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</si>
  <si>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</si>
  <si>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</si>
  <si>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</si>
  <si>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</si>
  <si>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</si>
  <si>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</si>
  <si>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</si>
  <si>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</si>
  <si>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</si>
  <si>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</si>
  <si>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</si>
  <si>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</si>
  <si>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</si>
  <si>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</si>
  <si>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</si>
  <si>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</si>
  <si>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</si>
  <si>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</si>
  <si>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</si>
  <si>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</si>
  <si>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</si>
  <si>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</si>
  <si>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</si>
  <si>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</si>
  <si>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</si>
  <si>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</si>
  <si>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</si>
  <si>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</si>
  <si>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</si>
  <si>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</si>
  <si>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</si>
  <si>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</si>
  <si>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</si>
  <si>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</si>
  <si>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</si>
  <si>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</si>
  <si>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</si>
  <si>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</si>
  <si>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</si>
  <si>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</si>
  <si>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</si>
  <si>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</si>
  <si>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</si>
  <si>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</si>
  <si>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</si>
  <si>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</si>
  <si>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</si>
  <si>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</si>
  <si>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</si>
  <si>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</si>
  <si>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</si>
  <si>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</si>
  <si>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</si>
  <si>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</si>
  <si>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</si>
  <si>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</si>
  <si>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</si>
  <si>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</si>
  <si>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</si>
  <si>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</si>
  <si>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</si>
  <si>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</si>
  <si>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</si>
  <si>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</si>
  <si>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</si>
  <si>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</si>
  <si>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</si>
  <si>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</si>
  <si>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</si>
  <si>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</si>
  <si>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</si>
  <si>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</si>
  <si>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</si>
  <si>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</si>
  <si>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</si>
  <si>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</si>
  <si>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</si>
  <si>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</si>
  <si>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</si>
  <si>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</si>
  <si>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</si>
  <si>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</si>
  <si>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</si>
  <si>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</si>
  <si>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</si>
  <si>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</si>
  <si>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</si>
  <si>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</si>
  <si>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</si>
  <si>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</si>
  <si>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</si>
  <si>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</si>
  <si>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</si>
  <si>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</si>
  <si>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</si>
  <si>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</si>
  <si>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</si>
  <si>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</si>
  <si>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</si>
  <si>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</si>
  <si>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</si>
  <si>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</si>
  <si>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</si>
  <si>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</si>
  <si>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</si>
  <si>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</si>
  <si>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</si>
  <si>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</si>
  <si>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</si>
  <si>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</si>
  <si>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</si>
  <si>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</si>
  <si>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</si>
  <si>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</si>
  <si>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</si>
  <si>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</si>
  <si>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</si>
  <si>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</si>
  <si>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</si>
  <si>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</si>
  <si>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</si>
  <si>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</si>
  <si>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</si>
  <si>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</si>
  <si>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</si>
  <si>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</si>
  <si>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</si>
  <si>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</si>
  <si>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</si>
  <si>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</si>
  <si>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</si>
  <si>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</si>
  <si>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</si>
  <si>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</si>
  <si>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</si>
  <si>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</si>
  <si>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</si>
  <si>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</si>
  <si>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</si>
  <si>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</si>
  <si>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</si>
  <si>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</si>
  <si>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</si>
  <si>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</si>
  <si>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</si>
  <si>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</si>
  <si>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</si>
  <si>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</si>
  <si>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</si>
  <si>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</si>
  <si>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</si>
  <si>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</si>
  <si>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</si>
  <si>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</si>
  <si>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</si>
  <si>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</si>
  <si>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</si>
  <si>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</si>
  <si>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</si>
  <si>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</si>
  <si>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</si>
  <si>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</si>
  <si>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</si>
  <si>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</si>
  <si>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</si>
  <si>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</si>
  <si>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</si>
  <si>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</si>
  <si>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</si>
  <si>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</si>
  <si>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</si>
  <si>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</si>
  <si>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</si>
  <si>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</si>
  <si>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</si>
  <si>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</si>
  <si>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</si>
  <si>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</si>
  <si>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</si>
  <si>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</si>
  <si>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</si>
  <si>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</si>
  <si>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</si>
  <si>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</si>
  <si>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</si>
  <si>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</si>
  <si>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</si>
  <si>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</si>
  <si>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</si>
  <si>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</si>
  <si>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</si>
  <si>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</si>
  <si>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</si>
  <si>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</si>
  <si>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</si>
  <si>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</si>
  <si>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</si>
  <si>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</si>
  <si>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</si>
  <si>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</si>
  <si>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</si>
  <si>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</si>
  <si>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</si>
  <si>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</si>
  <si>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</si>
  <si>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</si>
  <si>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</si>
  <si>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</si>
  <si>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</si>
  <si>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</si>
  <si>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</si>
  <si>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</si>
  <si>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</si>
  <si>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</si>
  <si>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</si>
  <si>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</si>
  <si>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</si>
  <si>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</si>
  <si>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</si>
  <si>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</si>
  <si>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</si>
  <si>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</si>
  <si>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</si>
  <si>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</si>
  <si>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</si>
  <si>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</si>
  <si>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</si>
  <si>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</si>
  <si>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</si>
  <si>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</si>
  <si>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</si>
  <si>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</si>
  <si>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</si>
  <si>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</si>
  <si>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</si>
  <si>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</si>
  <si>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</si>
  <si>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</si>
  <si>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</si>
  <si>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</si>
  <si>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</si>
  <si>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</si>
  <si>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</si>
  <si>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</si>
  <si>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</si>
  <si>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</si>
  <si>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</si>
  <si>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</si>
  <si>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</si>
  <si>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</si>
  <si>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</si>
  <si>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</si>
  <si>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</si>
  <si>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</si>
  <si>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</si>
  <si>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</si>
  <si>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</si>
  <si>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</si>
  <si>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</si>
  <si>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</si>
  <si>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</si>
  <si>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</si>
  <si>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</si>
  <si>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</si>
  <si>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</si>
  <si>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</si>
  <si>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</si>
  <si>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</si>
  <si>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</si>
  <si>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</si>
  <si>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</si>
  <si>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</si>
  <si>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</si>
  <si>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</si>
  <si>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</si>
  <si>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</si>
  <si>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</si>
  <si>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</si>
  <si>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</si>
  <si>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</si>
  <si>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</si>
  <si>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</si>
  <si>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</si>
  <si>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</si>
  <si>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</si>
  <si>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</si>
  <si>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</si>
  <si>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</si>
  <si>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</si>
  <si>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</si>
  <si>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</si>
  <si>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</si>
  <si>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</si>
  <si>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</si>
  <si>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</si>
  <si>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</si>
  <si>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</si>
  <si>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</si>
  <si>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</si>
  <si>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</si>
  <si>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</si>
  <si>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</si>
  <si>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</si>
  <si>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</si>
  <si>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</si>
  <si>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</si>
  <si>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</si>
  <si>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</si>
  <si>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</si>
  <si>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</si>
  <si>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</si>
  <si>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</si>
  <si>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</si>
  <si>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</si>
  <si>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</si>
  <si>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</si>
  <si>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</si>
  <si>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</si>
  <si>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</si>
  <si>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</si>
  <si>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</si>
  <si>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</si>
  <si>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</si>
  <si>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</si>
  <si>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</si>
  <si>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</si>
  <si>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</si>
  <si>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</si>
  <si>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</si>
  <si>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</si>
  <si>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</si>
  <si>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</si>
  <si>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</si>
  <si>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</si>
  <si>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</si>
  <si>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</si>
  <si>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</si>
  <si>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</si>
  <si>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</si>
  <si>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</si>
  <si>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</si>
  <si>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</si>
  <si>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</si>
  <si>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</si>
  <si>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</si>
  <si>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</si>
  <si>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</si>
  <si>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</si>
  <si>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</si>
  <si>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</si>
  <si>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</si>
  <si>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</si>
  <si>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</si>
  <si>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</si>
  <si>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</si>
  <si>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</si>
  <si>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</si>
  <si>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</si>
  <si>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</si>
  <si>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</si>
  <si>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</si>
  <si>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</si>
  <si>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</si>
  <si>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</si>
  <si>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</si>
  <si>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</si>
  <si>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</si>
  <si>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</si>
  <si>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</si>
  <si>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</si>
  <si>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</si>
  <si>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</si>
  <si>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</si>
  <si>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</si>
  <si>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</si>
  <si>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</si>
  <si>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</si>
  <si>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</si>
  <si>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</si>
  <si>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</si>
  <si>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</si>
  <si>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</si>
  <si>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</si>
  <si>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</si>
  <si>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</si>
  <si>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</si>
  <si>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</si>
  <si>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</si>
  <si>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</si>
  <si>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</si>
  <si>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</si>
  <si>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</si>
  <si>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</si>
  <si>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</si>
  <si>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</si>
  <si>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</si>
  <si>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</si>
  <si>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</si>
  <si>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</si>
  <si>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</si>
  <si>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</si>
  <si>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</si>
  <si>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</si>
  <si>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</si>
  <si>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</si>
  <si>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</si>
  <si>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</si>
  <si>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</si>
  <si>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</si>
  <si>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</si>
  <si>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</si>
  <si>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</si>
  <si>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</si>
  <si>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</si>
  <si>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</si>
  <si>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</si>
  <si>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</si>
  <si>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</si>
  <si>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</si>
  <si>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</si>
  <si>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</si>
  <si>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</si>
  <si>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</si>
  <si>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</si>
  <si>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</si>
  <si>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</si>
  <si>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</si>
  <si>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</si>
  <si>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</si>
  <si>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</si>
  <si>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</si>
  <si>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</si>
  <si>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</si>
  <si>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</si>
  <si>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</si>
  <si>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</si>
  <si>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</si>
  <si>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</si>
  <si>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</si>
  <si>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</si>
  <si>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</si>
  <si>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</si>
  <si>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</si>
  <si>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</si>
  <si>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</si>
  <si>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</si>
  <si>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</si>
  <si>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</si>
  <si>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</si>
  <si>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</si>
  <si>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</si>
  <si>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</si>
  <si>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</si>
  <si>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</si>
  <si>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</si>
  <si>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</si>
  <si>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</si>
  <si>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</si>
  <si>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</si>
  <si>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</si>
  <si>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</si>
  <si>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</si>
  <si>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</si>
  <si>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</si>
  <si>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</si>
  <si>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</si>
  <si>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</si>
  <si>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</si>
  <si>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</si>
  <si>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</si>
  <si>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</si>
  <si>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</si>
  <si>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</si>
  <si>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</si>
  <si>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</si>
  <si>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</si>
  <si>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</si>
  <si>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</si>
  <si>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</si>
  <si>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</si>
  <si>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</si>
  <si>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</si>
  <si>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</si>
  <si>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</si>
  <si>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</si>
  <si>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</si>
  <si>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</si>
  <si>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</si>
  <si>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</si>
  <si>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</si>
  <si>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</si>
  <si>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</si>
  <si>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</si>
  <si>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</si>
  <si>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</si>
  <si>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</si>
  <si>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</si>
  <si>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</si>
  <si>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</si>
  <si>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</si>
  <si>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</si>
  <si>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</si>
  <si>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</si>
  <si>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</si>
  <si>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</si>
  <si>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</si>
  <si>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</si>
  <si>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</si>
  <si>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</si>
  <si>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</si>
  <si>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</si>
  <si>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</si>
  <si>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</si>
  <si>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</si>
  <si>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</si>
  <si>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</si>
  <si>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</si>
  <si>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</si>
  <si>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</si>
  <si>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</si>
  <si>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</si>
  <si>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</si>
  <si>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</si>
  <si>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</si>
  <si>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</si>
  <si>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</si>
  <si>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</si>
  <si>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</si>
  <si>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</si>
  <si>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</si>
  <si>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</si>
  <si>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</si>
  <si>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</si>
  <si>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</si>
  <si>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</si>
  <si>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</si>
  <si>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</si>
  <si>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</si>
  <si>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</si>
  <si>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</si>
  <si>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</si>
  <si>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</si>
  <si>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</si>
  <si>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</si>
  <si>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</si>
  <si>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</si>
  <si>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</si>
  <si>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</si>
  <si>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</si>
  <si>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</si>
  <si>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</si>
  <si>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</si>
  <si>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</si>
  <si>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</si>
  <si>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</si>
  <si>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</si>
  <si>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</si>
  <si>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</si>
  <si>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</si>
  <si>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</si>
  <si>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</si>
  <si>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</si>
  <si>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</si>
  <si>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</si>
  <si>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</si>
  <si>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</si>
  <si>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</si>
  <si>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</si>
  <si>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</si>
  <si>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</si>
  <si>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</si>
  <si>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</si>
  <si>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</si>
  <si>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</si>
  <si>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</si>
  <si>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</si>
  <si>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</si>
  <si>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</si>
  <si>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</si>
  <si>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</si>
  <si>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</si>
  <si>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</si>
  <si>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</si>
  <si>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</si>
  <si>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</si>
  <si>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</si>
  <si>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</si>
  <si>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</si>
  <si>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</si>
  <si>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</si>
  <si>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</si>
  <si>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</si>
  <si>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</si>
  <si>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</si>
  <si>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</si>
  <si>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</si>
  <si>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</si>
  <si>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</si>
  <si>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</si>
  <si>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</si>
  <si>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</si>
  <si>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</si>
  <si>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</si>
  <si>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</si>
  <si>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</si>
  <si>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</si>
  <si>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</si>
  <si>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</si>
  <si>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</si>
  <si>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</si>
  <si>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</si>
  <si>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</si>
  <si>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</si>
  <si>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</si>
  <si>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</si>
  <si>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</si>
  <si>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</si>
  <si>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</si>
  <si>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</si>
  <si>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</si>
  <si>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</si>
  <si>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</si>
  <si>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</si>
  <si>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</si>
  <si>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</si>
  <si>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</si>
  <si>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</si>
  <si>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</si>
  <si>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</si>
  <si>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</si>
  <si>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</si>
  <si>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</si>
  <si>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</si>
  <si>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</si>
  <si>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</si>
  <si>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</si>
  <si>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</si>
  <si>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</si>
  <si>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</si>
  <si>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</si>
  <si>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</si>
  <si>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</si>
  <si>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</si>
  <si>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</si>
  <si>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</si>
  <si>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</si>
  <si>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</si>
  <si>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</si>
  <si>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</si>
  <si>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</si>
  <si>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</si>
  <si>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</si>
  <si>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</si>
  <si>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</si>
  <si>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</si>
  <si>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</si>
  <si>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</si>
  <si>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</si>
  <si>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</si>
  <si>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</si>
  <si>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</si>
  <si>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</si>
  <si>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</si>
  <si>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</si>
  <si>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</si>
  <si>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</si>
  <si>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</si>
  <si>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</si>
  <si>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</si>
  <si>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</si>
  <si>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</si>
  <si>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</si>
  <si>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</si>
  <si>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</si>
  <si>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</si>
  <si>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</si>
  <si>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</si>
  <si>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</si>
  <si>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</si>
  <si>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</si>
  <si>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</si>
  <si>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</si>
  <si>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</si>
  <si>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</si>
  <si>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</si>
  <si>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</si>
  <si>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</si>
  <si>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</si>
  <si>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</si>
  <si>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</si>
  <si>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</si>
  <si>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</si>
  <si>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</si>
  <si>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</si>
  <si>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</si>
  <si>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</si>
  <si>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</si>
  <si>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</si>
  <si>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</si>
  <si>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</si>
  <si>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</si>
  <si>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</si>
  <si>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</si>
  <si>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</si>
  <si>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</si>
  <si>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</si>
  <si>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</si>
  <si>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</si>
  <si>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</si>
  <si>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</si>
  <si>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</si>
  <si>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</si>
  <si>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</si>
  <si>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</si>
  <si>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</si>
  <si>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</si>
  <si>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</si>
  <si>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</si>
  <si>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</si>
  <si>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</si>
  <si>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</si>
  <si>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</si>
  <si>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</si>
  <si>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</si>
  <si>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</si>
  <si>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</si>
  <si>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</si>
  <si>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</si>
  <si>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</si>
  <si>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</si>
  <si>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</si>
  <si>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</si>
  <si>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</si>
  <si>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</si>
  <si>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</si>
  <si>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</si>
  <si>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</si>
  <si>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</si>
  <si>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</si>
  <si>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</si>
  <si>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</si>
  <si>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</si>
  <si>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</si>
  <si>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</si>
  <si>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</si>
  <si>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</si>
  <si>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</si>
  <si>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</si>
  <si>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</si>
  <si>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</si>
  <si>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</si>
  <si>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</si>
  <si>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</si>
  <si>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</si>
  <si>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</si>
  <si>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</si>
  <si>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</si>
  <si>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</si>
  <si>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</si>
  <si>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</si>
  <si>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</si>
  <si>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</si>
  <si>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</si>
  <si>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</si>
  <si>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</si>
  <si>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</si>
  <si>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</si>
  <si>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</si>
  <si>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</si>
  <si>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</si>
  <si>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</si>
  <si>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</si>
  <si>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</si>
  <si>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</si>
  <si>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</si>
  <si>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</si>
  <si>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</si>
  <si>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</si>
  <si>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</si>
  <si>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</si>
  <si>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</si>
  <si>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</si>
  <si>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</si>
  <si>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</si>
  <si>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</si>
  <si>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</si>
  <si>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</si>
  <si>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</si>
  <si>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</si>
  <si>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</si>
  <si>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</si>
  <si>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</si>
  <si>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</si>
  <si>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</si>
  <si>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</si>
  <si>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</si>
  <si>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</si>
  <si>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</si>
  <si>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</si>
  <si>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</si>
  <si>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</si>
  <si>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</si>
  <si>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</si>
  <si>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</si>
  <si>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</si>
  <si>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</si>
  <si>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</si>
  <si>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</si>
  <si>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</si>
  <si>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</si>
  <si>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</si>
  <si>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</si>
  <si>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</si>
  <si>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</si>
  <si>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</si>
  <si>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</si>
  <si>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</si>
  <si>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</si>
  <si>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</si>
  <si>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</si>
  <si>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</si>
  <si>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</si>
  <si>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</si>
  <si>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</si>
  <si>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</si>
  <si>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</si>
  <si>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</si>
  <si>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</si>
  <si>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</si>
  <si>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</si>
  <si>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</si>
  <si>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</si>
  <si>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</si>
  <si>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</si>
  <si>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</si>
  <si>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</si>
  <si>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</si>
  <si>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</si>
  <si>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</si>
  <si>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</si>
  <si>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</si>
  <si>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</si>
  <si>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</si>
  <si>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</si>
  <si>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</si>
  <si>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</si>
  <si>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</si>
  <si>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</si>
  <si>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</si>
  <si>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</si>
  <si>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</si>
  <si>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</si>
  <si>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</si>
  <si>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</si>
  <si>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</si>
  <si>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</si>
  <si>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</si>
  <si>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</si>
  <si>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</si>
  <si>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</si>
  <si>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</si>
  <si>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</si>
  <si>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</si>
  <si>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</si>
  <si>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</si>
  <si>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</si>
  <si>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</si>
  <si>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</si>
  <si>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</si>
  <si>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</si>
  <si>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</si>
  <si>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</si>
  <si>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</si>
  <si>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</si>
  <si>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</si>
  <si>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</si>
  <si>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</si>
  <si>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</si>
  <si>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</si>
  <si>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</si>
  <si>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</si>
  <si>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</si>
  <si>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</si>
  <si>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</si>
  <si>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</si>
  <si>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</si>
  <si>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</si>
  <si>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</si>
  <si>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</si>
  <si>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</si>
  <si>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</si>
  <si>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</si>
  <si>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</si>
  <si>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</si>
  <si>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</si>
  <si>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</si>
  <si>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</si>
  <si>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</si>
  <si>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</si>
  <si>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</si>
  <si>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</si>
  <si>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</si>
  <si>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</si>
  <si>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</si>
  <si>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</si>
  <si>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</si>
  <si>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</si>
  <si>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</si>
  <si>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</si>
  <si>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</si>
  <si>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</si>
  <si>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</si>
  <si>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</si>
  <si>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</si>
  <si>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</si>
  <si>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</si>
  <si>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</si>
  <si>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</si>
  <si>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</si>
  <si>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</si>
  <si>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</si>
  <si>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</si>
  <si>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</si>
  <si>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</si>
  <si>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</si>
  <si>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</si>
  <si>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</si>
  <si>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</si>
  <si>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</si>
  <si>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</si>
  <si>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</si>
  <si>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</si>
  <si>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</si>
  <si>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</si>
  <si>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</si>
  <si>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</si>
  <si>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</si>
  <si>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</si>
  <si>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</si>
  <si>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</si>
  <si>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</si>
  <si>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</si>
  <si>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</si>
  <si>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</si>
  <si>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</si>
  <si>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</si>
  <si>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</si>
  <si>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</si>
  <si>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</si>
  <si>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</si>
  <si>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</si>
  <si>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</si>
  <si>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</si>
  <si>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</si>
  <si>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</si>
  <si>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</si>
  <si>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</si>
  <si>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</si>
  <si>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</si>
  <si>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</si>
  <si>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</si>
  <si>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</si>
  <si>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</si>
  <si>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</si>
  <si>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</si>
  <si>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</si>
  <si>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</si>
  <si>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</si>
  <si>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</si>
  <si>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</si>
  <si>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</si>
  <si>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</si>
  <si>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</si>
  <si>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</si>
  <si>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</si>
  <si>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</si>
  <si>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</si>
  <si>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</si>
  <si>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</si>
  <si>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</si>
  <si>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</si>
  <si>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</si>
  <si>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</si>
  <si>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</si>
  <si>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</si>
  <si>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</si>
  <si>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</si>
  <si>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</si>
  <si>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</si>
  <si>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</si>
  <si>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</si>
  <si>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</si>
  <si>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</si>
  <si>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</si>
  <si>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</si>
  <si>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</si>
  <si>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</si>
  <si>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</si>
  <si>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</si>
  <si>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</si>
  <si>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</si>
  <si>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</si>
  <si>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</si>
  <si>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</si>
  <si>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</si>
  <si>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</si>
  <si>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</si>
  <si>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</si>
  <si>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</si>
  <si>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</si>
  <si>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</si>
  <si>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</si>
  <si>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</si>
  <si>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</si>
  <si>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</si>
  <si>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</si>
  <si>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</si>
  <si>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</si>
  <si>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</si>
  <si>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</si>
  <si>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</si>
  <si>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</si>
  <si>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</si>
  <si>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</si>
  <si>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</si>
  <si>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</si>
  <si>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</si>
  <si>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</si>
  <si>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</si>
  <si>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</si>
  <si>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</si>
  <si>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</si>
  <si>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</si>
  <si>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</si>
  <si>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</si>
  <si>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</si>
  <si>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</si>
  <si>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</si>
  <si>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</si>
  <si>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</si>
  <si>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</si>
  <si>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</si>
  <si>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</si>
  <si>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</si>
  <si>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</si>
  <si>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</si>
  <si>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</si>
  <si>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</si>
  <si>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</si>
  <si>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</si>
  <si>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</si>
  <si>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</si>
  <si>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</si>
  <si>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</si>
  <si>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</si>
  <si>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</si>
  <si>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</si>
  <si>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</si>
  <si>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</si>
  <si>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</si>
  <si>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</si>
  <si>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</si>
  <si>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</si>
  <si>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</si>
  <si>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</si>
  <si>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</si>
  <si>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</si>
  <si>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</si>
  <si>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</si>
  <si>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</si>
  <si>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</si>
  <si>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</si>
  <si>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</si>
  <si>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</si>
  <si>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</si>
  <si>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</si>
  <si>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</si>
  <si>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</si>
  <si>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</si>
  <si>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</si>
  <si>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</si>
  <si>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</si>
  <si>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</si>
  <si>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</si>
  <si>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</si>
  <si>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</si>
  <si>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</si>
  <si>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</si>
  <si>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</si>
  <si>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</si>
  <si>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</si>
  <si>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</si>
  <si>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</si>
  <si>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</si>
  <si>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</si>
  <si>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</si>
  <si>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</si>
  <si>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</si>
  <si>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</si>
  <si>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</si>
  <si>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</si>
  <si>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</si>
  <si>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</si>
  <si>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</si>
  <si>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</si>
  <si>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</si>
  <si>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</si>
  <si>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</si>
  <si>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</si>
  <si>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</si>
  <si>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</si>
  <si>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</si>
  <si>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</si>
  <si>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</si>
  <si>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</si>
  <si>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</si>
  <si>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</si>
  <si>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</si>
  <si>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</si>
  <si>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</si>
  <si>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</si>
  <si>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</si>
  <si>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</si>
  <si>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</si>
  <si>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</si>
  <si>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</si>
  <si>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</si>
  <si>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</si>
  <si>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</si>
  <si>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</si>
  <si>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</si>
  <si>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</si>
  <si>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</si>
  <si>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</si>
  <si>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</si>
  <si>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</si>
  <si>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</si>
  <si>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</si>
  <si>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</si>
  <si>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</si>
  <si>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</si>
  <si>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</si>
  <si>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</si>
  <si>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</si>
  <si>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</si>
  <si>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</si>
  <si>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</si>
  <si>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</si>
  <si>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</si>
  <si>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</si>
  <si>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</si>
  <si>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</si>
  <si>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</si>
  <si>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</si>
  <si>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</si>
  <si>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</si>
  <si>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</si>
  <si>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</si>
  <si>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</si>
  <si>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</si>
  <si>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</si>
  <si>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</si>
  <si>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</si>
  <si>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</si>
  <si>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</si>
  <si>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</si>
  <si>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</si>
  <si>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</si>
  <si>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</si>
  <si>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</si>
  <si>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</si>
  <si>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</si>
  <si>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</si>
  <si>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</si>
  <si>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</si>
  <si>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</si>
  <si>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</si>
  <si>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</si>
  <si>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</si>
  <si>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</si>
  <si>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</si>
  <si>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</si>
  <si>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</si>
  <si>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</si>
  <si>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</si>
  <si>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</si>
  <si>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</si>
  <si>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</si>
  <si>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</si>
  <si>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</si>
  <si>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</si>
  <si>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</si>
  <si>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</si>
  <si>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</si>
  <si>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</si>
  <si>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</si>
  <si>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</si>
  <si>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</si>
  <si>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</si>
  <si>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</si>
  <si>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</si>
  <si>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</si>
  <si>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</si>
  <si>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</si>
  <si>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</si>
  <si>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</si>
  <si>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</si>
  <si>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</si>
  <si>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</si>
  <si>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</si>
  <si>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</si>
  <si>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</si>
  <si>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</si>
  <si>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</si>
  <si>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</si>
  <si>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</si>
  <si>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</si>
  <si>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</si>
  <si>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</si>
  <si>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</si>
  <si>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</si>
  <si>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</si>
  <si>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</si>
  <si>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</si>
  <si>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</si>
  <si>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</si>
  <si>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</si>
  <si>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</si>
  <si>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</si>
  <si>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</si>
  <si>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</si>
  <si>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</si>
  <si>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</si>
  <si>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</si>
  <si>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</si>
  <si>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</si>
  <si>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</si>
  <si>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</si>
  <si>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</si>
  <si>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</si>
  <si>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</si>
  <si>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</si>
  <si>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</si>
  <si>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</si>
  <si>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</si>
  <si>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</si>
  <si>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</si>
  <si>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</si>
  <si>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</si>
  <si>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</si>
  <si>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</si>
  <si>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</si>
  <si>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</si>
  <si>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</si>
  <si>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</si>
  <si>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</si>
  <si>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</si>
  <si>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</si>
  <si>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</si>
  <si>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</si>
  <si>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</si>
  <si>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</si>
  <si>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</si>
  <si>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</si>
  <si>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</si>
  <si>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</si>
  <si>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</si>
  <si>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</si>
  <si>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</si>
  <si>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</si>
  <si>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</si>
  <si>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</si>
  <si>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</si>
  <si>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</si>
  <si>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</si>
  <si>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</si>
  <si>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</si>
  <si>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</si>
  <si>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</si>
  <si>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</si>
  <si>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</si>
  <si>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</si>
  <si>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</si>
  <si>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</si>
  <si>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</si>
  <si>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</si>
  <si>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</si>
  <si>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</si>
  <si>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</si>
  <si>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</si>
  <si>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</si>
  <si>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</si>
  <si>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</si>
  <si>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</si>
  <si>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</si>
  <si>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</si>
  <si>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</si>
  <si>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</si>
  <si>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</si>
  <si>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</si>
  <si>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</si>
  <si>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</si>
  <si>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</si>
  <si>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</si>
  <si>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</si>
  <si>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</si>
  <si>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</si>
  <si>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</si>
  <si>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</si>
  <si>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</si>
  <si>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</si>
  <si>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</si>
  <si>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</si>
  <si>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</si>
  <si>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</si>
  <si>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</si>
  <si>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</si>
  <si>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</si>
  <si>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</si>
  <si>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</si>
  <si>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</si>
  <si>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</si>
  <si>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</si>
  <si>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</si>
  <si>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</si>
  <si>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</si>
  <si>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</si>
  <si>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</si>
  <si>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</si>
  <si>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</si>
  <si>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</si>
  <si>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</si>
  <si>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</si>
  <si>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</si>
  <si>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</si>
  <si>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</si>
  <si>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</si>
  <si>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</si>
  <si>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</si>
  <si>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</si>
  <si>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</si>
  <si>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</si>
  <si>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</si>
  <si>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</si>
  <si>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</si>
  <si>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</si>
  <si>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</si>
  <si>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</si>
  <si>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</si>
  <si>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</si>
  <si>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</si>
  <si>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</si>
  <si>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</si>
  <si>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</si>
  <si>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</si>
  <si>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</si>
  <si>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</si>
  <si>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</si>
  <si>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</si>
  <si>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</si>
  <si>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</si>
  <si>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</si>
  <si>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</si>
  <si>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</si>
  <si>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</si>
  <si>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</si>
  <si>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</si>
  <si>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</si>
  <si>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</si>
  <si>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</si>
  <si>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</si>
  <si>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</si>
  <si>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</si>
  <si>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</si>
  <si>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</si>
  <si>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</si>
  <si>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</si>
  <si>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</si>
  <si>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</si>
  <si>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</si>
  <si>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</si>
  <si>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</si>
  <si>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</si>
  <si>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</si>
  <si>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</si>
  <si>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</si>
  <si>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</si>
  <si>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</si>
  <si>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</si>
  <si>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</si>
  <si>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</si>
  <si>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</si>
  <si>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</si>
  <si>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</si>
  <si>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</si>
  <si>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</si>
  <si>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</si>
  <si>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</si>
  <si>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</si>
  <si>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</si>
  <si>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</si>
  <si>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</si>
  <si>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</si>
  <si>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</si>
  <si>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</si>
  <si>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</si>
  <si>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</si>
  <si>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</si>
  <si>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</si>
  <si>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</si>
  <si>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</si>
  <si>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</si>
  <si>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</si>
  <si>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</si>
  <si>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</si>
  <si>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</si>
  <si>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</si>
  <si>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</si>
  <si>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</si>
  <si>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</si>
  <si>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</si>
  <si>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</si>
  <si>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</si>
  <si>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</si>
  <si>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</si>
  <si>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</si>
  <si>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</si>
  <si>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</si>
  <si>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</si>
  <si>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</si>
  <si>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</si>
  <si>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</si>
  <si>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</si>
  <si>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</si>
  <si>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</si>
  <si>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</si>
  <si>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</si>
  <si>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</si>
  <si>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</si>
  <si>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</si>
  <si>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</si>
  <si>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</si>
  <si>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</si>
  <si>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</si>
  <si>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</si>
  <si>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</si>
  <si>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</si>
  <si>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</si>
  <si>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</si>
  <si>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</si>
  <si>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</si>
  <si>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</si>
  <si>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</si>
  <si>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</si>
  <si>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</si>
  <si>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</si>
  <si>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</si>
  <si>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</si>
  <si>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</si>
  <si>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</si>
  <si>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</si>
  <si>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</si>
  <si>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</si>
  <si>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</si>
  <si>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</si>
  <si>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</si>
  <si>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</si>
  <si>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</si>
  <si>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</si>
  <si>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</si>
  <si>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</si>
  <si>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</si>
  <si>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</si>
  <si>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</si>
  <si>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</si>
  <si>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</si>
  <si>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</si>
  <si>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</si>
  <si>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</si>
  <si>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</si>
  <si>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</si>
  <si>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</si>
  <si>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</si>
  <si>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</si>
  <si>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</si>
  <si>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</si>
  <si>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</si>
  <si>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</si>
  <si>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</si>
  <si>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</si>
  <si>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</si>
  <si>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</si>
  <si>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</si>
  <si>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</si>
  <si>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</si>
  <si>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</si>
  <si>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</si>
  <si>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</si>
  <si>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</si>
  <si>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</si>
  <si>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</si>
  <si>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</si>
  <si>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</si>
  <si>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</si>
  <si>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</si>
  <si>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</si>
  <si>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</si>
  <si>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</si>
  <si>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</si>
  <si>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</si>
  <si>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</si>
  <si>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</si>
  <si>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</si>
  <si>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</si>
  <si>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</si>
  <si>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</si>
  <si>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</si>
  <si>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</si>
  <si>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</si>
  <si>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</si>
  <si>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</si>
  <si>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</si>
  <si>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</si>
  <si>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</si>
  <si>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</si>
  <si>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</si>
  <si>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</si>
  <si>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</si>
  <si>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</si>
  <si>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</si>
  <si>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</si>
  <si>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</si>
  <si>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</si>
  <si>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</si>
  <si>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</si>
  <si>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</si>
  <si>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</si>
  <si>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</si>
  <si>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</si>
  <si>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</si>
  <si>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</si>
  <si>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</si>
  <si>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</si>
  <si>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</si>
  <si>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</si>
  <si>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</si>
  <si>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</si>
  <si>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</si>
  <si>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</si>
  <si>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</si>
  <si>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</si>
  <si>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</si>
  <si>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</si>
  <si>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</si>
  <si>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</si>
  <si>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</si>
  <si>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</si>
  <si>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</si>
  <si>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</si>
  <si>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</si>
  <si>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</si>
  <si>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</si>
  <si>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</si>
  <si>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</si>
  <si>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</si>
  <si>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</si>
  <si>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</si>
  <si>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</si>
  <si>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</si>
  <si>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</si>
  <si>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</si>
  <si>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</si>
  <si>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</si>
  <si>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</si>
  <si>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</si>
  <si>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</si>
  <si>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</si>
  <si>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</si>
  <si>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</si>
  <si>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</si>
  <si>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</si>
  <si>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</si>
  <si>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</si>
  <si>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</si>
  <si>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</si>
  <si>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</si>
  <si>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</si>
  <si>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</si>
  <si>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</si>
  <si>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</si>
  <si>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</si>
  <si>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</si>
  <si>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</si>
  <si>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</si>
  <si>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</si>
  <si>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</si>
  <si>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</si>
  <si>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</si>
  <si>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</si>
  <si>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</si>
  <si>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</si>
  <si>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</si>
  <si>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</si>
  <si>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</si>
  <si>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</si>
  <si>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</si>
  <si>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</si>
  <si>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</si>
  <si>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</si>
  <si>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</si>
  <si>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</si>
  <si>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</si>
  <si>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</si>
  <si>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</si>
  <si>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</si>
  <si>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</si>
  <si>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</si>
  <si>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</si>
  <si>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</si>
  <si>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</si>
  <si>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</si>
  <si>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</si>
  <si>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</si>
  <si>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</si>
  <si>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</si>
  <si>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</si>
  <si>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</si>
  <si>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</si>
  <si>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</si>
  <si>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</si>
  <si>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</si>
  <si>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</si>
  <si>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</si>
  <si>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</si>
  <si>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</si>
  <si>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</si>
  <si>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</si>
  <si>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</si>
  <si>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</si>
  <si>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</si>
  <si>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</si>
  <si>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</si>
  <si>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</si>
  <si>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</si>
  <si>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</si>
  <si>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</si>
  <si>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</si>
  <si>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</si>
  <si>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</si>
  <si>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</si>
  <si>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</si>
  <si>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</si>
  <si>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</si>
  <si>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</si>
  <si>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</si>
  <si>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</si>
  <si>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</si>
  <si>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</si>
  <si>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</si>
  <si>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</si>
  <si>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</si>
  <si>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</si>
  <si>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</si>
  <si>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</si>
  <si>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</si>
  <si>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</si>
  <si>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</si>
  <si>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</si>
  <si>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</si>
  <si>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</si>
  <si>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</si>
  <si>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</si>
  <si>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</si>
  <si>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</si>
  <si>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</si>
  <si>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</si>
  <si>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</si>
  <si>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</si>
  <si>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</si>
  <si>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</si>
  <si>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</si>
  <si>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</si>
  <si>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</si>
  <si>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</si>
  <si>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</si>
  <si>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</si>
  <si>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</si>
  <si>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</si>
  <si>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</si>
  <si>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</si>
  <si>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</si>
  <si>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</si>
  <si>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</si>
  <si>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</si>
  <si>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</si>
  <si>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</si>
  <si>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</si>
  <si>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</si>
  <si>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</si>
  <si>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</si>
  <si>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</si>
  <si>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</si>
  <si>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</si>
  <si>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</si>
  <si>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</si>
  <si>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</si>
  <si>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</si>
  <si>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</si>
  <si>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</si>
  <si>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</si>
  <si>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</si>
  <si>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</si>
  <si>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</si>
  <si>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</si>
  <si>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</si>
  <si>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</si>
  <si>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</si>
  <si>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</si>
  <si>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</si>
  <si>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</si>
  <si>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</si>
  <si>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</si>
  <si>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</si>
  <si>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</si>
  <si>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</si>
  <si>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</si>
  <si>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</si>
  <si>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</si>
  <si>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</si>
  <si>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</si>
  <si>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</si>
  <si>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</si>
  <si>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</si>
  <si>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</si>
  <si>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</si>
  <si>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</si>
  <si>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</si>
  <si>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</si>
  <si>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</si>
  <si>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</si>
  <si>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</si>
  <si>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</si>
  <si>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</si>
  <si>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</si>
  <si>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</si>
  <si>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</si>
  <si>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</si>
  <si>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</si>
  <si>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</si>
  <si>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</si>
  <si>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</si>
  <si>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</si>
  <si>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</si>
  <si>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</si>
  <si>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</si>
  <si>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</si>
  <si>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</si>
  <si>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</si>
  <si>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</si>
  <si>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</si>
  <si>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</si>
  <si>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</si>
  <si>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</si>
  <si>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</si>
  <si>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</si>
  <si>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</si>
  <si>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</si>
  <si>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</si>
  <si>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</si>
  <si>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</si>
  <si>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</si>
  <si>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</si>
  <si>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</si>
  <si>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</si>
  <si>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</si>
  <si>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</si>
  <si>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</si>
  <si>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</si>
  <si>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</si>
  <si>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</si>
  <si>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</si>
  <si>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</si>
  <si>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</si>
  <si>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</si>
  <si>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</si>
  <si>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</si>
  <si>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</si>
  <si>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</si>
  <si>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</si>
  <si>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</si>
  <si>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</si>
  <si>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</si>
  <si>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</si>
  <si>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</si>
  <si>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</si>
  <si>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</si>
  <si>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</si>
  <si>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</si>
  <si>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</si>
  <si>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</si>
  <si>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</si>
  <si>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</si>
  <si>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</si>
  <si>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</si>
  <si>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</si>
  <si>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</si>
  <si>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</si>
  <si>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</si>
  <si>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</si>
  <si>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</si>
  <si>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</si>
  <si>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</si>
  <si>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</si>
  <si>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</si>
  <si>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</si>
  <si>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</si>
  <si>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</si>
  <si>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</si>
  <si>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</si>
  <si>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</si>
  <si>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</si>
  <si>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</si>
  <si>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</si>
  <si>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</si>
  <si>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</si>
  <si>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</si>
  <si>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</si>
  <si>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</si>
  <si>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</si>
  <si>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</si>
  <si>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</si>
  <si>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</si>
  <si>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</si>
  <si>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</si>
  <si>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</si>
  <si>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</si>
  <si>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</si>
  <si>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</si>
  <si>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</si>
  <si>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</si>
  <si>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</si>
  <si>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</si>
  <si>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</si>
  <si>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</si>
  <si>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</si>
  <si>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</si>
  <si>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</si>
  <si>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</si>
  <si>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</si>
  <si>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</si>
  <si>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</si>
  <si>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</si>
  <si>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</si>
  <si>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</si>
  <si>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</si>
  <si>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</si>
  <si>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</si>
  <si>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</si>
  <si>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</si>
  <si>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</si>
  <si>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</si>
  <si>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</si>
  <si>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</si>
  <si>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</si>
  <si>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</si>
  <si>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</si>
  <si>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</si>
  <si>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</si>
  <si>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</si>
  <si>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</si>
  <si>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</si>
  <si>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</si>
  <si>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</si>
  <si>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</si>
  <si>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</si>
  <si>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</si>
  <si>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</si>
  <si>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</si>
  <si>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</si>
  <si>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 O T V R Z E N Í</t>
  </si>
  <si>
    <t>zaměstnavatele druhého z poplatníků pro uplatnění nároku na daňové zvýhodnění</t>
  </si>
  <si>
    <t>Identifikace plátce daně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</si>
  <si>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</si>
  <si>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</si>
  <si>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</si>
  <si>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</si>
  <si>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Vyhotovil:</t>
  </si>
  <si>
    <t>Dne: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</si>
  <si>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</si>
  <si>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</si>
  <si>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</si>
  <si>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</si>
  <si>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</si>
  <si>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</si>
  <si>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</si>
  <si>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</si>
  <si>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</si>
  <si>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</si>
  <si>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</si>
  <si>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</si>
  <si>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</si>
  <si>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</si>
  <si>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</si>
  <si>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</si>
  <si>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</si>
  <si>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</si>
  <si>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</si>
  <si>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</si>
  <si>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</si>
  <si>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</si>
  <si>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</si>
  <si>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</si>
  <si>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</si>
  <si>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</si>
  <si>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</si>
  <si>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</si>
  <si>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</si>
  <si>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</si>
  <si>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</si>
  <si>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</si>
  <si>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</si>
  <si>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</si>
  <si>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</si>
  <si>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</si>
  <si>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</si>
  <si>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</si>
  <si>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</si>
  <si>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</si>
  <si>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</si>
  <si>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</si>
  <si>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</si>
  <si>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</si>
  <si>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</si>
  <si>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</si>
  <si>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</si>
  <si>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</si>
  <si>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</si>
  <si>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</si>
  <si>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</si>
  <si>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</si>
  <si>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</si>
  <si>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</si>
  <si>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</si>
  <si>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</si>
  <si>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</si>
  <si>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</si>
  <si>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</si>
  <si>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</si>
  <si>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</si>
  <si>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</si>
  <si>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</si>
  <si>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</si>
  <si>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</si>
  <si>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</si>
  <si>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</si>
  <si>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</si>
  <si>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</si>
  <si>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</si>
  <si>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</si>
  <si>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</si>
  <si>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</si>
  <si>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</si>
  <si>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</si>
  <si>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</si>
  <si>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</si>
  <si>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</si>
  <si>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</si>
  <si>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</si>
  <si>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</si>
  <si>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</si>
  <si>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</si>
  <si>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</si>
  <si>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</si>
  <si>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</si>
  <si>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</si>
  <si>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</si>
  <si>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</si>
  <si>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</si>
  <si>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</si>
  <si>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</si>
  <si>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</si>
  <si>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</si>
  <si>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</si>
  <si>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</si>
  <si>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</si>
  <si>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</si>
  <si>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</si>
  <si>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</si>
  <si>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</si>
  <si>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</si>
  <si>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</si>
  <si>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</si>
  <si>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</si>
  <si>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</si>
  <si>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</si>
  <si>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</si>
  <si>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</si>
  <si>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</si>
  <si>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</si>
  <si>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</si>
  <si>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</si>
  <si>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 xml:space="preserve">SPOLEČNÉ ÚDAJE </t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</si>
  <si>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</si>
  <si>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</si>
  <si>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</si>
  <si>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</si>
  <si>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</si>
  <si>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</si>
  <si>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</si>
  <si>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</si>
  <si>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</si>
  <si>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</si>
  <si>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</si>
  <si>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</si>
  <si>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</si>
  <si>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</si>
  <si>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</si>
  <si>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</si>
  <si>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</si>
  <si>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</si>
  <si>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</si>
  <si>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</si>
  <si>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</si>
  <si>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</si>
  <si>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</si>
  <si>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</si>
  <si>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</si>
  <si>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</si>
  <si>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</si>
  <si>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</si>
  <si>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</si>
  <si>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</si>
  <si>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</si>
  <si>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</si>
  <si>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</si>
  <si>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</si>
  <si>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</si>
  <si>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</si>
  <si>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</si>
  <si>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</si>
  <si>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</si>
  <si>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</si>
  <si>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</si>
  <si>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</si>
  <si>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</si>
  <si>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</si>
  <si>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</si>
  <si>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</si>
  <si>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</si>
  <si>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</si>
  <si>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</si>
  <si>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</si>
  <si>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</si>
  <si>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</si>
  <si>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</si>
  <si>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</si>
  <si>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</si>
  <si>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</si>
  <si>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</si>
  <si>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</si>
  <si>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</si>
  <si>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</si>
  <si>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</si>
  <si>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</si>
  <si>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</si>
  <si>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</si>
  <si>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</si>
  <si>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</si>
  <si>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</si>
  <si>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</si>
  <si>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</si>
  <si>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</si>
  <si>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t>ii) prostřednictvím datové schránky poplatníka, resp. jeho zmocněného zástupce</t>
  </si>
  <si>
    <t>62a</t>
  </si>
  <si>
    <t>Sleva za zastavenou exekuci podle § 35 odst. 4 zákona</t>
  </si>
  <si>
    <t>Usnesení o zastavení exekuce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</si>
  <si>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</si>
  <si>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</si>
  <si>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</si>
  <si>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</si>
  <si>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</si>
  <si>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</si>
  <si>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</si>
  <si>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</si>
  <si>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</si>
  <si>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</si>
  <si>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</si>
  <si>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</si>
  <si>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</si>
  <si>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</si>
  <si>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</si>
  <si>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t xml:space="preserve">8. </t>
  </si>
  <si>
    <t xml:space="preserve">Pokud budete podávat přiznání přes datovou schránku, pak je potřeba na příslušný finanční úřad poslat výše uvedený xml soubor. </t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</si>
  <si>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</si>
  <si>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</si>
  <si>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</si>
  <si>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</si>
  <si>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>Doporučený postup při načtení do aplikace Moje daně</t>
  </si>
  <si>
    <t>401a</t>
  </si>
  <si>
    <t>Příjmy podle § 7 odst. 14 zákona společníků veřejně obchodní společnosti nebo komplementářů komanditní společnosti plynoucí ze zdrojů v zahraničí.</t>
  </si>
  <si>
    <t>Úhrn dílčího samostatného základu daně podle § 7 a dílčího samostatného základu daně podle § 8 zákona (ř. 401 + ř. 401a
po snížení podle § 8 odst. 9 zákona)</t>
  </si>
  <si>
    <t>25 5405 Mfin 5405 vzor č. 29, formulář je platný pro zdaňovací období započatá v roce 2024</t>
  </si>
  <si>
    <t>25 5405 MFin 5405 vzor č.29</t>
  </si>
  <si>
    <t>Částka podle</t>
  </si>
  <si>
    <t>§ 15 odst. 1 zákona (hodnota bezúplatného plnění - daru/darů)</t>
  </si>
  <si>
    <t>§ 15 odst. 3 a 4 zákona (odečet úroků)</t>
  </si>
  <si>
    <t>§ 15a odst. 1 písm. a), b) a c) zákona (penzijní připojištění, doplňkové penzijní spoření a penzijní pojištění)</t>
  </si>
  <si>
    <t>§ 15a odst. 1 písm. d) zákona (soukromé životní pojištění)</t>
  </si>
  <si>
    <t>§ 15a odst. 1 písm. e) zákona (dlouhodobý investiční produkt)</t>
  </si>
  <si>
    <t>§ 15c zákona (pojištění dlouhodobé péče)</t>
  </si>
  <si>
    <t>Úhrn slev na dani podle § 35, § 35a, § 35b a § 35 ba zákona (ř. 62 + ř. 62a + ř. 63 + ř. 64 + ř. 65a + ř. 65b + ř. 66 + ř. 67 + ř. 68)</t>
  </si>
  <si>
    <t>Daň ze samostatného základu daně podle § 16a zákona
(částka z ř. 414 přílohy č. 4 DAP)</t>
  </si>
  <si>
    <t>Podle ust. § 154 a 155b  zákona č. 280/2009 Sb., daňového řádu, ve znění pozdějších předpisů, žádám o vrácení:</t>
  </si>
  <si>
    <t>Daňový subjekt / Osoba oprávněná k podpisu</t>
  </si>
  <si>
    <t>Příloha č.3 - „Výpočet daně z příjmů ze zahraničí (§ 38f zákona)" včetně Samostatných listů</t>
  </si>
  <si>
    <t>Potvrzení o majetku připsaném ve prospěch dlouhodobého investičního produktu</t>
  </si>
  <si>
    <t>Potvrzení o zaplaceném pojistném na pojištění dlouhodobé péče</t>
  </si>
  <si>
    <t>je součástí tiskopisu P Ř I Z N Á N Í k dani z příjmů fyzických osob za zdaňovací období 2024 - 25 5405 MFin 5405 vzor č. 29 („dále jen DAP")</t>
  </si>
  <si>
    <t>25 5405/P1 MFin 5405/P1 - vzor č. 20</t>
  </si>
  <si>
    <t>(1)</t>
  </si>
  <si>
    <t>1) Z předtištěných možností v rámečku vyberte odpovídající variantu a označte křížkem.</t>
  </si>
  <si>
    <t>2) Údaje, pro které nedostačuje vyhrazené místo, uveďte na volný list a přiložte k tiskopisu.</t>
  </si>
  <si>
    <t>(2)</t>
  </si>
  <si>
    <t>25 5405/P2 MFin 5405/P2 - vzor č. 20</t>
  </si>
  <si>
    <t>je součástí tiskopisu P Ř I Z N Á N Í k dani z příjmů fyzických osob za zdaňovací období 2024 - 25 5405 MFin 5405 vzor č. 29 (dále jen „DAP")</t>
  </si>
  <si>
    <t>je součástí tiskopisu P Ř I Z N Á N Í k dani z příjmů fyzických osob za zdaňovací období 2024 - 25 5405 MFin 5405 vzor č. 29 (dále jen „DAP").</t>
  </si>
  <si>
    <t xml:space="preserve">Koeficient zápočtu (ř. 321 - ř. 322) děleno (ř. 42 nebo ř. 313), výsledek vynásobte 100 </t>
  </si>
  <si>
    <t>25 5405/P3 MFin 5405/P3 - vzor č. 20</t>
  </si>
  <si>
    <t>1. Výpočet daně ze samostatného základu daně podle § 16a zákona</t>
  </si>
  <si>
    <t>25 5405/P4 MFin 5405/P4 - vzor č. 11</t>
  </si>
  <si>
    <t>ke dni  31.12.2024</t>
  </si>
  <si>
    <t>prohlašuji, že jsem v roce 2024 neuplatnil / neuplatnila daňové zvýhodnění na vyživované děti:</t>
  </si>
  <si>
    <t>Splatnost záloh na daň z příjmu v letech 2025 - 2026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</si>
  <si>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</si>
  <si>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</si>
  <si>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</si>
  <si>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</si>
  <si>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</si>
  <si>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 xml:space="preserve">Daňové identifikační číslo plátce daně </t>
  </si>
  <si>
    <t>7</t>
  </si>
  <si>
    <r>
      <t>potvrzení vydané dne</t>
    </r>
    <r>
      <rPr>
        <vertAlign val="superscript"/>
        <sz val="9"/>
        <color theme="1"/>
        <rFont val="Arial"/>
        <family val="2"/>
        <charset val="238"/>
      </rPr>
      <t>1)</t>
    </r>
  </si>
  <si>
    <t>25 5558 Mfin 5558 - vzor č. 3</t>
  </si>
  <si>
    <t>POKYNY</t>
  </si>
  <si>
    <r>
      <rPr>
        <vertAlign val="superscript"/>
        <sz val="8"/>
        <color theme="1"/>
        <rFont val="Arial"/>
        <family val="2"/>
        <charset val="238"/>
      </rPr>
      <t>1)</t>
    </r>
    <r>
      <rPr>
        <sz val="8"/>
        <color theme="1"/>
        <rFont val="Arial"/>
        <family val="2"/>
        <charset val="238"/>
      </rPr>
      <t xml:space="preserve"> Pokud bylo již dříve poplatníkovi vystaveno potvrzení za stejné zdaňovací období, vyplňte datum vystavení tohoto předchozího potvrzení a důvody pro vydání nového potvrzení uveďte v příloze. V opačném případě nevyplňujte.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</si>
</sst>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</numFmts>
  <fonts count="12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b/>
      <sz val="12"/>
      <color rgb="FFFF0000"/>
      <name val="Arial CE"/>
      <charset val="238"/>
    </font>
    <font>
      <u/>
      <sz val="11"/>
      <name val="Arial CE"/>
      <charset val="238"/>
    </font>
    <font>
      <b/>
      <u/>
      <sz val="11"/>
      <name val="Arial CE"/>
      <charset val="238"/>
    </font>
    <font>
      <b/>
      <sz val="11"/>
      <color rgb="FF3399FF"/>
      <name val="Arial CE"/>
      <charset val="238"/>
    </font>
    <font>
      <b/>
      <sz val="10"/>
      <color rgb="FFFF0000"/>
      <name val="Arial"/>
      <family val="2"/>
      <charset val="238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FFC7CE"/>
      </patternFill>
    </fill>
    <fill>
      <patternFill patternType="solid">
        <fgColor rgb="FFFFCCCC"/>
        <bgColor indexed="32"/>
      </patternFill>
    </fill>
  </fills>
  <borders count="11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12" fillId="20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362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7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8" fillId="9" borderId="8" xfId="0" applyFont="1" applyFill="1" applyBorder="1"/>
    <xf numFmtId="0" fontId="38" fillId="9" borderId="25" xfId="0" applyFont="1" applyFill="1" applyBorder="1"/>
    <xf numFmtId="0" fontId="37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5" fillId="0" borderId="0" xfId="0" applyFont="1"/>
    <xf numFmtId="0" fontId="35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1" xfId="0" applyNumberFormat="1" applyFont="1" applyFill="1" applyBorder="1" applyAlignment="1" applyProtection="1">
      <alignment horizontal="center"/>
      <protection locked="0"/>
    </xf>
    <xf numFmtId="49" fontId="52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68" fillId="7" borderId="0" xfId="0" applyFont="1" applyFill="1"/>
    <xf numFmtId="0" fontId="68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4" fillId="5" borderId="0" xfId="0" applyFont="1" applyFill="1"/>
    <xf numFmtId="0" fontId="64" fillId="0" borderId="0" xfId="0" applyFont="1"/>
    <xf numFmtId="0" fontId="70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0" fillId="7" borderId="2" xfId="0" applyFont="1" applyFill="1" applyBorder="1" applyAlignment="1">
      <alignment horizontal="center" vertical="center"/>
    </xf>
    <xf numFmtId="0" fontId="65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7" borderId="0" xfId="0" applyFont="1" applyFill="1" applyAlignment="1">
      <alignment horizontal="center" vertical="center"/>
    </xf>
    <xf numFmtId="0" fontId="76" fillId="5" borderId="0" xfId="0" applyFont="1" applyFill="1"/>
    <xf numFmtId="0" fontId="16" fillId="7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76" fillId="7" borderId="0" xfId="0" applyFont="1" applyFill="1" applyAlignment="1">
      <alignment vertical="center"/>
    </xf>
    <xf numFmtId="0" fontId="76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67" fillId="10" borderId="0" xfId="0" applyFont="1" applyFill="1" applyAlignment="1">
      <alignment vertical="center"/>
    </xf>
    <xf numFmtId="0" fontId="67" fillId="10" borderId="0" xfId="0" applyFont="1" applyFill="1" applyAlignment="1">
      <alignment horizontal="right" vertical="center"/>
    </xf>
    <xf numFmtId="0" fontId="67" fillId="6" borderId="0" xfId="0" applyFont="1" applyFill="1" applyAlignment="1">
      <alignment vertical="center"/>
    </xf>
    <xf numFmtId="0" fontId="67" fillId="6" borderId="0" xfId="0" applyFont="1" applyFill="1" applyAlignment="1">
      <alignment horizontal="right" vertical="center"/>
    </xf>
    <xf numFmtId="0" fontId="67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0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0" borderId="53" xfId="0" applyNumberFormat="1" applyFill="1" applyBorder="1" applyAlignment="1" applyProtection="1">
      <alignment vertical="center"/>
      <protection locked="0"/>
    </xf>
    <xf numFmtId="0" fontId="0" fillId="11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11" borderId="52" xfId="0" applyNumberFormat="1" applyFill="1" applyBorder="1" applyAlignment="1" applyProtection="1">
      <alignment horizontal="left" vertical="center"/>
      <protection locked="0"/>
    </xf>
    <xf numFmtId="3" fontId="0" fillId="11" borderId="53" xfId="0" applyNumberFormat="1" applyFill="1" applyBorder="1" applyAlignment="1" applyProtection="1">
      <alignment horizontal="left" vertical="center"/>
      <protection locked="0"/>
    </xf>
    <xf numFmtId="3" fontId="0" fillId="11" borderId="52" xfId="0" applyNumberFormat="1" applyFill="1" applyBorder="1" applyAlignment="1" applyProtection="1">
      <alignment horizontal="left" vertical="center"/>
      <protection locked="0"/>
    </xf>
    <xf numFmtId="0" fontId="0" fillId="11" borderId="53" xfId="0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horizontal="left" vertical="center"/>
      <protection locked="0"/>
    </xf>
    <xf numFmtId="0" fontId="0" fillId="11" borderId="54" xfId="0" applyFill="1" applyBorder="1" applyAlignment="1" applyProtection="1">
      <alignment vertical="center"/>
      <protection locked="0"/>
    </xf>
    <xf numFmtId="0" fontId="0" fillId="11" borderId="55" xfId="0" applyFill="1" applyBorder="1" applyAlignment="1" applyProtection="1">
      <alignment vertical="center"/>
      <protection locked="0"/>
    </xf>
    <xf numFmtId="0" fontId="67" fillId="11" borderId="0" xfId="0" applyFont="1" applyFill="1" applyAlignment="1">
      <alignment vertical="center"/>
    </xf>
    <xf numFmtId="0" fontId="67" fillId="11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1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41" fillId="7" borderId="27" xfId="0" applyFont="1" applyFill="1" applyBorder="1" applyAlignment="1">
      <alignment horizontal="center" vertical="center"/>
    </xf>
    <xf numFmtId="0" fontId="41" fillId="7" borderId="36" xfId="0" applyFont="1" applyFill="1" applyBorder="1" applyAlignment="1">
      <alignment horizontal="center" vertical="center"/>
    </xf>
    <xf numFmtId="0" fontId="41" fillId="7" borderId="56" xfId="0" applyFont="1" applyFill="1" applyBorder="1" applyAlignment="1">
      <alignment horizontal="center" vertical="center"/>
    </xf>
    <xf numFmtId="0" fontId="41" fillId="7" borderId="38" xfId="0" applyFont="1" applyFill="1" applyBorder="1" applyAlignment="1">
      <alignment horizontal="center" vertical="center"/>
    </xf>
    <xf numFmtId="0" fontId="41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0" fillId="7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1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6" fillId="11" borderId="53" xfId="6" applyFill="1" applyBorder="1" applyAlignment="1" applyProtection="1">
      <alignment vertical="center"/>
      <protection locked="0"/>
    </xf>
    <xf numFmtId="0" fontId="87" fillId="0" borderId="0" xfId="0" applyFont="1"/>
    <xf numFmtId="49" fontId="0" fillId="0" borderId="0" xfId="0" applyNumberForma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91" fillId="2" borderId="81" xfId="7" applyFont="1" applyFill="1" applyBorder="1" applyAlignment="1">
      <alignment vertical="center" wrapText="1"/>
    </xf>
    <xf numFmtId="0" fontId="91" fillId="2" borderId="47" xfId="7" applyFont="1" applyFill="1" applyBorder="1" applyAlignment="1">
      <alignment horizontal="center" vertical="center" wrapText="1"/>
    </xf>
    <xf numFmtId="0" fontId="5" fillId="0" borderId="81" xfId="7" applyBorder="1"/>
    <xf numFmtId="0" fontId="5" fillId="0" borderId="82" xfId="7" applyBorder="1"/>
    <xf numFmtId="1" fontId="5" fillId="0" borderId="83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92" fillId="0" borderId="67" xfId="0" applyNumberFormat="1" applyFont="1" applyBorder="1" applyAlignment="1">
      <alignment horizontal="center" vertical="center"/>
    </xf>
    <xf numFmtId="0" fontId="0" fillId="0" borderId="83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91" fillId="2" borderId="2" xfId="7" applyFont="1" applyFill="1" applyBorder="1" applyAlignment="1">
      <alignment vertical="center" wrapText="1"/>
    </xf>
    <xf numFmtId="0" fontId="9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84" xfId="8" applyBorder="1" applyAlignment="1">
      <alignment horizontal="left"/>
    </xf>
    <xf numFmtId="1" fontId="5" fillId="0" borderId="84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84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93" fillId="0" borderId="67" xfId="0" applyNumberFormat="1" applyFont="1" applyBorder="1" applyAlignment="1">
      <alignment horizontal="center" vertical="center"/>
    </xf>
    <xf numFmtId="1" fontId="94" fillId="0" borderId="84" xfId="0" applyNumberFormat="1" applyFont="1" applyBorder="1" applyAlignment="1">
      <alignment horizontal="left"/>
    </xf>
    <xf numFmtId="49" fontId="94" fillId="0" borderId="0" xfId="0" applyNumberFormat="1" applyFont="1" applyAlignment="1">
      <alignment horizontal="center"/>
    </xf>
    <xf numFmtId="0" fontId="91" fillId="2" borderId="3" xfId="7" applyFont="1" applyFill="1" applyBorder="1" applyAlignment="1">
      <alignment vertical="center" wrapText="1"/>
    </xf>
    <xf numFmtId="0" fontId="9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85" xfId="8" applyNumberFormat="1" applyBorder="1" applyAlignment="1">
      <alignment horizontal="left"/>
    </xf>
    <xf numFmtId="49" fontId="0" fillId="0" borderId="3" xfId="0" applyNumberFormat="1" applyBorder="1"/>
    <xf numFmtId="49" fontId="93" fillId="0" borderId="57" xfId="0" applyNumberFormat="1" applyFont="1" applyBorder="1" applyAlignment="1">
      <alignment horizontal="center" vertical="center"/>
    </xf>
    <xf numFmtId="0" fontId="0" fillId="0" borderId="85" xfId="0" applyBorder="1"/>
    <xf numFmtId="0" fontId="2" fillId="0" borderId="0" xfId="0" applyFont="1"/>
    <xf numFmtId="49" fontId="3" fillId="0" borderId="0" xfId="0" applyNumberFormat="1" applyFont="1"/>
    <xf numFmtId="0" fontId="0" fillId="13" borderId="0" xfId="0" applyFill="1"/>
    <xf numFmtId="3" fontId="0" fillId="0" borderId="0" xfId="0" applyNumberFormat="1"/>
    <xf numFmtId="4" fontId="0" fillId="0" borderId="0" xfId="0" applyNumberFormat="1"/>
    <xf numFmtId="0" fontId="95" fillId="0" borderId="0" xfId="0" applyFont="1"/>
    <xf numFmtId="0" fontId="3" fillId="13" borderId="0" xfId="0" applyFont="1" applyFill="1"/>
    <xf numFmtId="1" fontId="0" fillId="0" borderId="0" xfId="0" applyNumberFormat="1"/>
    <xf numFmtId="0" fontId="96" fillId="0" borderId="0" xfId="0" applyFont="1"/>
    <xf numFmtId="0" fontId="0" fillId="14" borderId="0" xfId="0" applyFill="1" applyAlignment="1">
      <alignment horizontal="right" vertical="center"/>
    </xf>
    <xf numFmtId="0" fontId="5" fillId="15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81" xfId="0" applyFont="1" applyFill="1" applyBorder="1" applyAlignment="1">
      <alignment horizontal="center" vertical="center" wrapText="1"/>
    </xf>
    <xf numFmtId="0" fontId="11" fillId="6" borderId="82" xfId="0" applyFont="1" applyFill="1" applyBorder="1" applyAlignment="1">
      <alignment horizontal="center" vertical="center" wrapText="1"/>
    </xf>
    <xf numFmtId="49" fontId="95" fillId="0" borderId="0" xfId="0" applyNumberFormat="1" applyFont="1"/>
    <xf numFmtId="0" fontId="0" fillId="16" borderId="0" xfId="0" applyFill="1"/>
    <xf numFmtId="0" fontId="5" fillId="18" borderId="0" xfId="7" applyFill="1"/>
    <xf numFmtId="0" fontId="98" fillId="18" borderId="0" xfId="7" applyFont="1" applyFill="1" applyAlignment="1">
      <alignment vertical="top"/>
    </xf>
    <xf numFmtId="0" fontId="99" fillId="18" borderId="0" xfId="7" applyFont="1" applyFill="1" applyAlignment="1">
      <alignment wrapText="1"/>
    </xf>
    <xf numFmtId="0" fontId="98" fillId="18" borderId="0" xfId="7" applyFont="1" applyFill="1" applyAlignment="1">
      <alignment wrapText="1"/>
    </xf>
    <xf numFmtId="0" fontId="98" fillId="18" borderId="0" xfId="7" applyFont="1" applyFill="1"/>
    <xf numFmtId="0" fontId="100" fillId="18" borderId="0" xfId="5" applyFont="1" applyFill="1" applyAlignment="1" applyProtection="1">
      <alignment wrapText="1"/>
    </xf>
    <xf numFmtId="0" fontId="98" fillId="18" borderId="0" xfId="8" applyFont="1" applyFill="1" applyAlignment="1">
      <alignment wrapText="1"/>
    </xf>
    <xf numFmtId="0" fontId="30" fillId="18" borderId="0" xfId="7" applyFont="1" applyFill="1" applyAlignment="1">
      <alignment horizontal="right" wrapText="1"/>
    </xf>
    <xf numFmtId="0" fontId="98" fillId="18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1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92" fillId="17" borderId="0" xfId="11" applyFont="1" applyFill="1"/>
    <xf numFmtId="0" fontId="92" fillId="17" borderId="0" xfId="11" applyFont="1" applyFill="1" applyAlignment="1">
      <alignment wrapText="1"/>
    </xf>
    <xf numFmtId="0" fontId="92" fillId="15" borderId="28" xfId="11" applyFont="1" applyFill="1" applyBorder="1" applyAlignment="1">
      <alignment horizontal="center" vertical="center"/>
    </xf>
    <xf numFmtId="0" fontId="92" fillId="15" borderId="27" xfId="11" applyFont="1" applyFill="1" applyBorder="1" applyAlignment="1">
      <alignment horizontal="center" vertical="center"/>
    </xf>
    <xf numFmtId="0" fontId="92" fillId="15" borderId="36" xfId="11" applyFont="1" applyFill="1" applyBorder="1" applyAlignment="1">
      <alignment horizontal="center" vertical="center" wrapText="1"/>
    </xf>
    <xf numFmtId="0" fontId="92" fillId="17" borderId="0" xfId="11" applyFont="1" applyFill="1" applyAlignment="1">
      <alignment horizontal="center" vertical="center"/>
    </xf>
    <xf numFmtId="0" fontId="104" fillId="15" borderId="2" xfId="11" applyFont="1" applyFill="1" applyBorder="1" applyAlignment="1" applyProtection="1">
      <alignment horizontal="left" vertical="center" indent="1"/>
      <protection locked="0"/>
    </xf>
    <xf numFmtId="49" fontId="104" fillId="15" borderId="1" xfId="11" applyNumberFormat="1" applyFont="1" applyFill="1" applyBorder="1" applyAlignment="1" applyProtection="1">
      <alignment horizontal="center" vertical="center"/>
      <protection locked="0"/>
    </xf>
    <xf numFmtId="49" fontId="104" fillId="15" borderId="2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2" xfId="11" applyNumberFormat="1" applyFont="1" applyFill="1" applyBorder="1" applyAlignment="1" applyProtection="1">
      <alignment horizontal="center" vertical="center"/>
      <protection locked="0"/>
    </xf>
    <xf numFmtId="49" fontId="104" fillId="15" borderId="3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3" xfId="11" applyNumberFormat="1" applyFont="1" applyFill="1" applyBorder="1" applyAlignment="1" applyProtection="1">
      <alignment horizontal="center" vertical="center"/>
      <protection locked="0"/>
    </xf>
    <xf numFmtId="49" fontId="104" fillId="15" borderId="9" xfId="11" applyNumberFormat="1" applyFont="1" applyFill="1" applyBorder="1" applyAlignment="1" applyProtection="1">
      <alignment horizontal="center" vertical="center"/>
      <protection locked="0"/>
    </xf>
    <xf numFmtId="0" fontId="92" fillId="15" borderId="0" xfId="11" applyFont="1" applyFill="1" applyAlignment="1">
      <alignment horizontal="right" vertical="center"/>
    </xf>
    <xf numFmtId="14" fontId="104" fillId="15" borderId="0" xfId="11" applyNumberFormat="1" applyFont="1" applyFill="1" applyAlignment="1">
      <alignment horizontal="center" vertical="center"/>
    </xf>
    <xf numFmtId="0" fontId="2" fillId="17" borderId="0" xfId="11" applyFont="1" applyFill="1"/>
    <xf numFmtId="0" fontId="1" fillId="17" borderId="0" xfId="11" applyFill="1" applyAlignment="1">
      <alignment wrapText="1"/>
    </xf>
    <xf numFmtId="0" fontId="1" fillId="17" borderId="0" xfId="11" applyFill="1"/>
    <xf numFmtId="0" fontId="102" fillId="17" borderId="0" xfId="11" applyFont="1" applyFill="1" applyAlignment="1">
      <alignment vertical="center"/>
    </xf>
    <xf numFmtId="0" fontId="92" fillId="15" borderId="0" xfId="1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49" fontId="105" fillId="15" borderId="42" xfId="11" applyNumberFormat="1" applyFont="1" applyFill="1" applyBorder="1" applyAlignment="1">
      <alignment horizontal="center" vertical="center"/>
    </xf>
    <xf numFmtId="49" fontId="105" fillId="15" borderId="0" xfId="11" applyNumberFormat="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left" vertical="center" indent="1"/>
      <protection locked="0"/>
    </xf>
    <xf numFmtId="49" fontId="104" fillId="15" borderId="0" xfId="11" applyNumberFormat="1" applyFont="1" applyFill="1" applyAlignment="1">
      <alignment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" fillId="15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4" borderId="0" xfId="0" applyFont="1" applyFill="1" applyAlignment="1">
      <alignment horizontal="right" vertical="center"/>
    </xf>
    <xf numFmtId="0" fontId="92" fillId="15" borderId="0" xfId="11" applyFont="1" applyFill="1" applyAlignment="1">
      <alignment horizontal="left" vertical="center"/>
    </xf>
    <xf numFmtId="0" fontId="92" fillId="15" borderId="27" xfId="11" applyFont="1" applyFill="1" applyBorder="1" applyAlignment="1">
      <alignment horizontal="center" vertical="center" wrapText="1"/>
    </xf>
    <xf numFmtId="0" fontId="0" fillId="15" borderId="0" xfId="0" applyFill="1" applyAlignment="1">
      <alignment vertical="center"/>
    </xf>
    <xf numFmtId="0" fontId="92" fillId="15" borderId="0" xfId="11" applyFont="1" applyFill="1" applyAlignment="1">
      <alignment horizontal="center" vertical="center" wrapText="1"/>
    </xf>
    <xf numFmtId="0" fontId="104" fillId="15" borderId="92" xfId="11" applyFont="1" applyFill="1" applyBorder="1" applyAlignment="1">
      <alignment horizontal="center" vertical="center"/>
    </xf>
    <xf numFmtId="0" fontId="105" fillId="15" borderId="0" xfId="11" applyFont="1" applyFill="1" applyAlignment="1" applyProtection="1">
      <alignment horizontal="center" vertical="center" wrapText="1"/>
      <protection locked="0"/>
    </xf>
    <xf numFmtId="0" fontId="104" fillId="15" borderId="67" xfId="11" applyFont="1" applyFill="1" applyBorder="1" applyAlignment="1" applyProtection="1">
      <alignment horizontal="left" vertical="center" indent="1"/>
      <protection locked="0"/>
    </xf>
    <xf numFmtId="49" fontId="104" fillId="15" borderId="67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57" xfId="11" applyNumberFormat="1" applyFont="1" applyFill="1" applyBorder="1" applyAlignment="1" applyProtection="1">
      <alignment horizontal="left" vertical="center" indent="1"/>
      <protection locked="0"/>
    </xf>
    <xf numFmtId="0" fontId="104" fillId="15" borderId="2" xfId="11" applyFont="1" applyFill="1" applyBorder="1" applyAlignment="1" applyProtection="1">
      <alignment horizontal="center" vertical="center"/>
      <protection locked="0"/>
    </xf>
    <xf numFmtId="0" fontId="111" fillId="15" borderId="1" xfId="0" applyFont="1" applyFill="1" applyBorder="1" applyAlignment="1" applyProtection="1">
      <alignment horizontal="center" vertical="center"/>
      <protection locked="0"/>
    </xf>
    <xf numFmtId="0" fontId="110" fillId="15" borderId="2" xfId="11" applyFont="1" applyFill="1" applyBorder="1" applyAlignment="1">
      <alignment horizontal="center" vertical="center"/>
    </xf>
    <xf numFmtId="0" fontId="41" fillId="15" borderId="32" xfId="0" applyFont="1" applyFill="1" applyBorder="1" applyAlignment="1">
      <alignment vertical="center"/>
    </xf>
    <xf numFmtId="0" fontId="105" fillId="15" borderId="0" xfId="11" applyFont="1" applyFill="1" applyAlignment="1">
      <alignment horizontal="center" vertical="center" wrapText="1"/>
    </xf>
    <xf numFmtId="0" fontId="92" fillId="15" borderId="10" xfId="11" applyFont="1" applyFill="1" applyBorder="1" applyAlignment="1">
      <alignment horizontal="left" vertical="center" indent="1"/>
    </xf>
    <xf numFmtId="49" fontId="92" fillId="15" borderId="10" xfId="11" applyNumberFormat="1" applyFont="1" applyFill="1" applyBorder="1" applyAlignment="1">
      <alignment horizontal="left" vertical="center" indent="1"/>
    </xf>
    <xf numFmtId="3" fontId="95" fillId="0" borderId="0" xfId="0" applyNumberFormat="1" applyFont="1"/>
    <xf numFmtId="0" fontId="0" fillId="0" borderId="87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7" fillId="20" borderId="4" xfId="12" applyFont="1" applyBorder="1" applyAlignment="1"/>
    <xf numFmtId="0" fontId="57" fillId="20" borderId="99" xfId="12" applyFont="1" applyBorder="1" applyAlignment="1" applyProtection="1">
      <alignment horizontal="center"/>
    </xf>
    <xf numFmtId="0" fontId="57" fillId="20" borderId="66" xfId="12" applyFont="1" applyBorder="1" applyAlignment="1">
      <alignment horizontal="center"/>
    </xf>
    <xf numFmtId="0" fontId="57" fillId="20" borderId="27" xfId="12" applyFont="1" applyBorder="1" applyAlignment="1">
      <alignment horizontal="center"/>
    </xf>
    <xf numFmtId="0" fontId="57" fillId="20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00" xfId="0" applyNumberFormat="1" applyFont="1" applyBorder="1" applyAlignment="1">
      <alignment vertical="center"/>
    </xf>
    <xf numFmtId="4" fontId="0" fillId="0" borderId="90" xfId="0" applyNumberFormat="1" applyBorder="1" applyAlignment="1" applyProtection="1">
      <alignment vertical="center"/>
      <protection locked="0"/>
    </xf>
    <xf numFmtId="4" fontId="0" fillId="0" borderId="87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01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0" fillId="2" borderId="0" xfId="0" applyFill="1" applyAlignment="1">
      <alignment vertical="top" wrapText="1"/>
    </xf>
    <xf numFmtId="0" fontId="5" fillId="2" borderId="87" xfId="13" applyFont="1" applyFill="1" applyBorder="1" applyAlignment="1" applyProtection="1">
      <alignment horizontal="center"/>
      <protection locked="0"/>
    </xf>
    <xf numFmtId="0" fontId="8" fillId="3" borderId="87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77" fillId="7" borderId="52" xfId="0" applyFont="1" applyFill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0" borderId="53" xfId="0" applyFont="1" applyBorder="1" applyAlignment="1" applyProtection="1">
      <alignment horizontal="center" vertical="center"/>
      <protection locked="0"/>
    </xf>
    <xf numFmtId="0" fontId="0" fillId="11" borderId="52" xfId="0" applyFill="1" applyBorder="1" applyAlignment="1" applyProtection="1">
      <alignment vertical="top"/>
      <protection locked="0"/>
    </xf>
    <xf numFmtId="0" fontId="0" fillId="10" borderId="65" xfId="0" applyFill="1" applyBorder="1" applyAlignment="1" applyProtection="1">
      <alignment vertical="top"/>
      <protection locked="0"/>
    </xf>
    <xf numFmtId="0" fontId="0" fillId="10" borderId="53" xfId="0" applyFill="1" applyBorder="1" applyAlignment="1" applyProtection="1">
      <alignment vertical="top"/>
      <protection locked="0"/>
    </xf>
    <xf numFmtId="0" fontId="76" fillId="7" borderId="0" xfId="0" applyFont="1" applyFill="1" applyAlignment="1" applyProtection="1">
      <alignment vertical="center"/>
      <protection locked="0"/>
    </xf>
    <xf numFmtId="0" fontId="86" fillId="11" borderId="52" xfId="5" applyFont="1" applyFill="1" applyBorder="1" applyAlignment="1" applyProtection="1">
      <alignment vertical="center"/>
      <protection locked="0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18" borderId="5" xfId="0" applyFont="1" applyFill="1" applyBorder="1" applyAlignment="1">
      <alignment horizontal="center" vertical="center"/>
    </xf>
    <xf numFmtId="0" fontId="8" fillId="18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05" xfId="0" applyFont="1" applyFill="1" applyBorder="1" applyAlignment="1">
      <alignment horizontal="center" vertical="center"/>
    </xf>
    <xf numFmtId="3" fontId="25" fillId="2" borderId="87" xfId="0" applyNumberFormat="1" applyFont="1" applyFill="1" applyBorder="1" applyAlignment="1" applyProtection="1">
      <alignment horizontal="center" vertical="center"/>
      <protection locked="0"/>
    </xf>
    <xf numFmtId="3" fontId="25" fillId="2" borderId="87" xfId="0" applyNumberFormat="1" applyFont="1" applyFill="1" applyBorder="1" applyAlignment="1">
      <alignment horizontal="center" vertical="center"/>
    </xf>
    <xf numFmtId="10" fontId="25" fillId="2" borderId="87" xfId="0" applyNumberFormat="1" applyFont="1" applyFill="1" applyBorder="1" applyAlignment="1">
      <alignment horizontal="center" vertical="center"/>
    </xf>
    <xf numFmtId="0" fontId="13" fillId="18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0" fontId="3" fillId="7" borderId="0" xfId="10" applyFill="1"/>
    <xf numFmtId="0" fontId="3" fillId="0" borderId="0" xfId="10"/>
    <xf numFmtId="0" fontId="11" fillId="6" borderId="109" xfId="10" applyFont="1" applyFill="1" applyBorder="1" applyAlignment="1">
      <alignment horizontal="center" vertical="center" wrapText="1"/>
    </xf>
    <xf numFmtId="0" fontId="11" fillId="6" borderId="82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08" xfId="10" applyBorder="1" applyAlignment="1">
      <alignment horizontal="center" vertical="center"/>
    </xf>
    <xf numFmtId="0" fontId="3" fillId="0" borderId="108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6" fillId="3" borderId="28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5" fillId="3" borderId="36" xfId="0" applyFont="1" applyFill="1" applyBorder="1" applyAlignment="1">
      <alignment horizontal="center" vertical="center"/>
    </xf>
    <xf numFmtId="1" fontId="0" fillId="4" borderId="0" xfId="0" applyNumberFormat="1" applyFill="1"/>
    <xf numFmtId="167" fontId="3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14" fontId="5" fillId="4" borderId="0" xfId="0" applyNumberFormat="1" applyFont="1" applyFill="1"/>
    <xf numFmtId="14" fontId="5" fillId="2" borderId="9" xfId="0" applyNumberFormat="1" applyFont="1" applyFill="1" applyBorder="1" applyAlignment="1" applyProtection="1">
      <alignment horizontal="center" vertical="center"/>
      <protection locked="0"/>
    </xf>
    <xf numFmtId="14" fontId="0" fillId="4" borderId="0" xfId="0" applyNumberFormat="1" applyFill="1"/>
    <xf numFmtId="0" fontId="6" fillId="3" borderId="6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4" fontId="0" fillId="4" borderId="0" xfId="0" applyNumberFormat="1" applyFill="1"/>
    <xf numFmtId="165" fontId="6" fillId="3" borderId="28" xfId="0" applyNumberFormat="1" applyFont="1" applyFill="1" applyBorder="1" applyAlignment="1">
      <alignment horizontal="center" vertical="center"/>
    </xf>
    <xf numFmtId="167" fontId="5" fillId="2" borderId="36" xfId="0" applyNumberFormat="1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right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>
      <alignment horizontal="center" vertical="center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74" fillId="18" borderId="0" xfId="0" applyFont="1" applyFill="1" applyAlignment="1">
      <alignment horizontal="left" vertical="center" wrapText="1"/>
    </xf>
    <xf numFmtId="0" fontId="98" fillId="18" borderId="0" xfId="7" applyFont="1" applyFill="1" applyAlignment="1">
      <alignment wrapText="1" shrinkToFit="1"/>
    </xf>
    <xf numFmtId="0" fontId="99" fillId="18" borderId="0" xfId="8" applyFont="1" applyFill="1" applyAlignment="1">
      <alignment wrapText="1"/>
    </xf>
    <xf numFmtId="0" fontId="117" fillId="18" borderId="0" xfId="5" applyFont="1" applyFill="1" applyAlignment="1" applyProtection="1"/>
    <xf numFmtId="0" fontId="25" fillId="7" borderId="2" xfId="0" applyFont="1" applyFill="1" applyBorder="1" applyAlignment="1">
      <alignment horizontal="center" vertical="center"/>
    </xf>
    <xf numFmtId="0" fontId="122" fillId="7" borderId="0" xfId="0" applyFont="1" applyFill="1"/>
    <xf numFmtId="0" fontId="30" fillId="3" borderId="0" xfId="10" applyFont="1" applyFill="1" applyAlignment="1">
      <alignment horizontal="center" wrapText="1"/>
    </xf>
    <xf numFmtId="0" fontId="117" fillId="6" borderId="0" xfId="5" applyFont="1" applyFill="1" applyAlignment="1" applyProtection="1">
      <alignment horizontal="center" wrapText="1"/>
    </xf>
    <xf numFmtId="0" fontId="117" fillId="6" borderId="0" xfId="0" applyFont="1" applyFill="1" applyAlignment="1">
      <alignment horizontal="center" wrapText="1"/>
    </xf>
    <xf numFmtId="0" fontId="0" fillId="2" borderId="0" xfId="0" applyFill="1" applyAlignment="1">
      <alignment vertical="top" wrapText="1"/>
    </xf>
    <xf numFmtId="0" fontId="10" fillId="3" borderId="0" xfId="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16" fillId="3" borderId="0" xfId="10" applyFont="1" applyFill="1" applyAlignment="1">
      <alignment horizontal="left" vertical="center" wrapText="1"/>
    </xf>
    <xf numFmtId="0" fontId="81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75" fillId="2" borderId="0" xfId="0" applyFont="1" applyFill="1" applyAlignment="1">
      <alignment vertical="center"/>
    </xf>
    <xf numFmtId="0" fontId="62" fillId="3" borderId="0" xfId="0" applyFont="1" applyFill="1" applyAlignment="1">
      <alignment horizontal="center" wrapText="1"/>
    </xf>
    <xf numFmtId="0" fontId="1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18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113" fillId="3" borderId="0" xfId="0" applyFont="1" applyFill="1" applyAlignment="1">
      <alignment horizontal="left" vertical="center" wrapText="1"/>
    </xf>
    <xf numFmtId="0" fontId="116" fillId="3" borderId="0" xfId="0" applyFont="1" applyFill="1" applyAlignment="1">
      <alignment horizontal="left" vertical="center" wrapText="1"/>
    </xf>
    <xf numFmtId="0" fontId="63" fillId="18" borderId="0" xfId="7" applyFont="1" applyFill="1"/>
    <xf numFmtId="0" fontId="5" fillId="18" borderId="0" xfId="7" applyFill="1"/>
    <xf numFmtId="0" fontId="0" fillId="12" borderId="0" xfId="0" applyFill="1"/>
    <xf numFmtId="0" fontId="0" fillId="0" borderId="0" xfId="0"/>
    <xf numFmtId="0" fontId="67" fillId="7" borderId="0" xfId="0" applyFont="1" applyFill="1" applyAlignment="1">
      <alignment horizontal="center" vertical="center"/>
    </xf>
    <xf numFmtId="0" fontId="67" fillId="7" borderId="63" xfId="0" applyFont="1" applyFill="1" applyBorder="1" applyAlignment="1">
      <alignment vertical="center"/>
    </xf>
    <xf numFmtId="0" fontId="0" fillId="0" borderId="64" xfId="0" applyBorder="1" applyAlignment="1">
      <alignment vertical="center"/>
    </xf>
    <xf numFmtId="0" fontId="70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66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67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1" fillId="2" borderId="24" xfId="0" applyFont="1" applyFill="1" applyBorder="1" applyAlignment="1" applyProtection="1">
      <alignment horizontal="center" vertical="center" wrapText="1"/>
      <protection locked="0"/>
    </xf>
    <xf numFmtId="0" fontId="41" fillId="7" borderId="44" xfId="0" applyFont="1" applyFill="1" applyBorder="1" applyAlignment="1" applyProtection="1">
      <alignment horizontal="center" vertical="center" wrapText="1"/>
      <protection locked="0"/>
    </xf>
    <xf numFmtId="49" fontId="51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68" xfId="0" applyFont="1" applyFill="1" applyBorder="1" applyAlignment="1">
      <alignment horizontal="center" wrapText="1"/>
    </xf>
    <xf numFmtId="0" fontId="0" fillId="0" borderId="68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68" xfId="0" applyNumberFormat="1" applyBorder="1" applyProtection="1">
      <protection locked="0"/>
    </xf>
    <xf numFmtId="49" fontId="0" fillId="0" borderId="69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39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39" fillId="3" borderId="40" xfId="0" applyFont="1" applyFill="1" applyBorder="1"/>
    <xf numFmtId="0" fontId="25" fillId="0" borderId="40" xfId="0" applyFont="1" applyBorder="1"/>
    <xf numFmtId="0" fontId="20" fillId="3" borderId="68" xfId="0" applyFont="1" applyFill="1" applyBorder="1"/>
    <xf numFmtId="0" fontId="25" fillId="0" borderId="68" xfId="0" applyFont="1" applyBorder="1"/>
    <xf numFmtId="3" fontId="108" fillId="2" borderId="24" xfId="5" applyNumberFormat="1" applyFont="1" applyFill="1" applyBorder="1" applyAlignment="1" applyProtection="1">
      <alignment horizontal="center" wrapText="1"/>
      <protection locked="0"/>
    </xf>
    <xf numFmtId="0" fontId="109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67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66" xfId="0" applyFont="1" applyBorder="1" applyAlignment="1" applyProtection="1">
      <alignment horizontal="center"/>
      <protection locked="0"/>
    </xf>
    <xf numFmtId="0" fontId="2" fillId="0" borderId="66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68" xfId="0" applyBorder="1" applyProtection="1">
      <protection locked="0"/>
    </xf>
    <xf numFmtId="0" fontId="0" fillId="0" borderId="69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67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67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0" xfId="0" applyFont="1" applyFill="1" applyBorder="1" applyAlignment="1">
      <alignment horizontal="center"/>
    </xf>
    <xf numFmtId="0" fontId="0" fillId="0" borderId="25" xfId="0" applyBorder="1"/>
    <xf numFmtId="0" fontId="0" fillId="0" borderId="71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2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51" fillId="7" borderId="0" xfId="5" applyFill="1" applyAlignment="1" applyProtection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25" fillId="3" borderId="26" xfId="0" applyFont="1" applyFill="1" applyBorder="1" applyAlignment="1">
      <alignment vertical="center"/>
    </xf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67" xfId="0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67" xfId="0" applyNumberFormat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67" xfId="0" applyBorder="1" applyAlignment="1">
      <alignment wrapText="1"/>
    </xf>
    <xf numFmtId="0" fontId="56" fillId="3" borderId="0" xfId="0" applyFont="1" applyFill="1" applyAlignment="1">
      <alignment horizontal="left"/>
    </xf>
    <xf numFmtId="0" fontId="41" fillId="6" borderId="0" xfId="0" applyFont="1" applyFill="1" applyAlignment="1">
      <alignment horizontal="left"/>
    </xf>
    <xf numFmtId="0" fontId="41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66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88" xfId="0" applyNumberFormat="1" applyFont="1" applyFill="1" applyBorder="1" applyAlignment="1">
      <alignment horizontal="center" vertical="center"/>
    </xf>
    <xf numFmtId="3" fontId="5" fillId="2" borderId="89" xfId="0" applyNumberFormat="1" applyFont="1" applyFill="1" applyBorder="1" applyAlignment="1">
      <alignment horizontal="center" vertical="center"/>
    </xf>
    <xf numFmtId="3" fontId="0" fillId="0" borderId="90" xfId="0" applyNumberFormat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3" fontId="5" fillId="2" borderId="105" xfId="0" applyNumberFormat="1" applyFont="1" applyFill="1" applyBorder="1" applyAlignment="1" applyProtection="1">
      <alignment horizontal="center" vertical="center"/>
      <protection locked="0"/>
    </xf>
    <xf numFmtId="3" fontId="5" fillId="2" borderId="110" xfId="0" applyNumberFormat="1" applyFont="1" applyFill="1" applyBorder="1" applyAlignment="1" applyProtection="1">
      <alignment horizontal="center" vertical="center"/>
      <protection locked="0"/>
    </xf>
    <xf numFmtId="3" fontId="5" fillId="2" borderId="111" xfId="0" applyNumberFormat="1" applyFont="1" applyFill="1" applyBorder="1" applyAlignment="1" applyProtection="1">
      <alignment horizontal="center" vertical="center"/>
      <protection locked="0"/>
    </xf>
    <xf numFmtId="0" fontId="13" fillId="3" borderId="33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0" fillId="6" borderId="68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6" xfId="0" applyBorder="1" applyAlignment="1">
      <alignment vertical="center"/>
    </xf>
    <xf numFmtId="0" fontId="13" fillId="3" borderId="67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/>
    </xf>
    <xf numFmtId="0" fontId="0" fillId="0" borderId="67" xfId="0" applyBorder="1"/>
    <xf numFmtId="0" fontId="13" fillId="3" borderId="68" xfId="0" applyFont="1" applyFill="1" applyBorder="1" applyAlignment="1">
      <alignment horizontal="center" vertical="center"/>
    </xf>
    <xf numFmtId="0" fontId="0" fillId="0" borderId="68" xfId="0" applyBorder="1" applyAlignment="1">
      <alignment vertical="center"/>
    </xf>
    <xf numFmtId="0" fontId="13" fillId="3" borderId="22" xfId="0" applyFont="1" applyFill="1" applyBorder="1" applyAlignment="1">
      <alignment vertical="center" wrapText="1"/>
    </xf>
    <xf numFmtId="0" fontId="13" fillId="3" borderId="66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13" fillId="3" borderId="106" xfId="0" applyFont="1" applyFill="1" applyBorder="1" applyAlignment="1">
      <alignment vertical="center" wrapText="1"/>
    </xf>
    <xf numFmtId="0" fontId="13" fillId="3" borderId="107" xfId="0" applyFont="1" applyFill="1" applyBorder="1" applyAlignment="1">
      <alignment vertical="center" wrapText="1"/>
    </xf>
    <xf numFmtId="0" fontId="0" fillId="0" borderId="43" xfId="0" applyBorder="1"/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0" fillId="0" borderId="57" xfId="0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68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68" xfId="0" applyFont="1" applyFill="1" applyBorder="1" applyAlignment="1">
      <alignment horizontal="center"/>
    </xf>
    <xf numFmtId="0" fontId="25" fillId="6" borderId="68" xfId="0" applyFont="1" applyFill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13" fillId="18" borderId="24" xfId="0" applyFont="1" applyFill="1" applyBorder="1" applyAlignment="1">
      <alignment vertical="center" wrapText="1"/>
    </xf>
    <xf numFmtId="0" fontId="13" fillId="18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25" fillId="2" borderId="105" xfId="0" applyNumberFormat="1" applyFont="1" applyFill="1" applyBorder="1" applyAlignment="1">
      <alignment horizontal="center" vertical="center"/>
    </xf>
    <xf numFmtId="4" fontId="25" fillId="2" borderId="107" xfId="0" applyNumberFormat="1" applyFont="1" applyFill="1" applyBorder="1" applyAlignment="1">
      <alignment horizontal="center" vertical="center"/>
    </xf>
    <xf numFmtId="0" fontId="13" fillId="3" borderId="110" xfId="0" applyFont="1" applyFill="1" applyBorder="1" applyAlignment="1">
      <alignment vertical="center" wrapText="1"/>
    </xf>
    <xf numFmtId="0" fontId="13" fillId="3" borderId="111" xfId="0" applyFont="1" applyFill="1" applyBorder="1" applyAlignment="1">
      <alignment vertical="center" wrapText="1"/>
    </xf>
    <xf numFmtId="3" fontId="25" fillId="2" borderId="105" xfId="0" applyNumberFormat="1" applyFont="1" applyFill="1" applyBorder="1" applyAlignment="1" applyProtection="1">
      <alignment horizontal="center" vertical="center"/>
      <protection locked="0"/>
    </xf>
    <xf numFmtId="0" fontId="0" fillId="0" borderId="111" xfId="0" applyBorder="1" applyAlignment="1">
      <alignment horizontal="center" vertical="center"/>
    </xf>
    <xf numFmtId="0" fontId="25" fillId="3" borderId="105" xfId="0" applyFont="1" applyFill="1" applyBorder="1" applyAlignment="1">
      <alignment vertical="center"/>
    </xf>
    <xf numFmtId="0" fontId="0" fillId="0" borderId="110" xfId="0" applyBorder="1"/>
    <xf numFmtId="0" fontId="0" fillId="0" borderId="98" xfId="0" applyBorder="1"/>
    <xf numFmtId="0" fontId="8" fillId="3" borderId="23" xfId="0" applyFont="1" applyFill="1" applyBorder="1" applyAlignment="1">
      <alignment vertical="center" wrapText="1" shrinkToFit="1"/>
    </xf>
    <xf numFmtId="0" fontId="8" fillId="3" borderId="67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67" xfId="0" applyNumberFormat="1" applyFont="1" applyFill="1" applyBorder="1" applyAlignment="1" applyProtection="1">
      <alignment horizontal="center" vertical="center"/>
      <protection locked="0"/>
    </xf>
    <xf numFmtId="3" fontId="5" fillId="2" borderId="67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67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66" xfId="0" applyNumberFormat="1" applyFont="1" applyFill="1" applyBorder="1" applyAlignment="1" applyProtection="1">
      <alignment horizontal="center" vertical="center"/>
      <protection locked="0"/>
    </xf>
    <xf numFmtId="49" fontId="5" fillId="2" borderId="87" xfId="0" applyNumberFormat="1" applyFont="1" applyFill="1" applyBorder="1" applyAlignment="1" applyProtection="1">
      <alignment horizontal="center" vertical="center"/>
      <protection locked="0"/>
    </xf>
    <xf numFmtId="0" fontId="0" fillId="0" borderId="87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18" borderId="106" xfId="0" applyFont="1" applyFill="1" applyBorder="1" applyAlignment="1">
      <alignment vertical="center"/>
    </xf>
    <xf numFmtId="0" fontId="8" fillId="18" borderId="107" xfId="0" applyFont="1" applyFill="1" applyBorder="1" applyAlignment="1">
      <alignment vertical="center"/>
    </xf>
    <xf numFmtId="3" fontId="5" fillId="2" borderId="106" xfId="0" applyNumberFormat="1" applyFont="1" applyFill="1" applyBorder="1" applyAlignment="1" applyProtection="1">
      <alignment horizontal="center" vertical="center"/>
      <protection locked="0"/>
    </xf>
    <xf numFmtId="3" fontId="5" fillId="2" borderId="107" xfId="0" applyNumberFormat="1" applyFont="1" applyFill="1" applyBorder="1" applyAlignment="1" applyProtection="1">
      <alignment horizontal="center" vertical="center"/>
      <protection locked="0"/>
    </xf>
    <xf numFmtId="0" fontId="8" fillId="18" borderId="87" xfId="0" applyFont="1" applyFill="1" applyBorder="1" applyAlignment="1">
      <alignment horizontal="center"/>
    </xf>
    <xf numFmtId="0" fontId="8" fillId="18" borderId="105" xfId="0" applyFont="1" applyFill="1" applyBorder="1" applyAlignment="1">
      <alignment horizontal="center"/>
    </xf>
    <xf numFmtId="0" fontId="0" fillId="21" borderId="1" xfId="0" applyFill="1" applyBorder="1"/>
    <xf numFmtId="0" fontId="8" fillId="3" borderId="106" xfId="0" applyFont="1" applyFill="1" applyBorder="1" applyAlignment="1">
      <alignment vertical="center" wrapText="1"/>
    </xf>
    <xf numFmtId="0" fontId="8" fillId="3" borderId="107" xfId="0" applyFont="1" applyFill="1" applyBorder="1" applyAlignment="1">
      <alignment vertical="center" wrapText="1"/>
    </xf>
    <xf numFmtId="0" fontId="8" fillId="3" borderId="87" xfId="0" applyFont="1" applyFill="1" applyBorder="1" applyAlignment="1">
      <alignment horizontal="center"/>
    </xf>
    <xf numFmtId="0" fontId="8" fillId="3" borderId="105" xfId="0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87" xfId="0" applyFont="1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8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8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3" fontId="25" fillId="2" borderId="105" xfId="0" applyNumberFormat="1" applyFont="1" applyFill="1" applyBorder="1" applyAlignment="1">
      <alignment horizontal="center" vertical="center"/>
    </xf>
    <xf numFmtId="3" fontId="25" fillId="2" borderId="110" xfId="0" applyNumberFormat="1" applyFont="1" applyFill="1" applyBorder="1" applyAlignment="1">
      <alignment horizontal="center" vertical="center"/>
    </xf>
    <xf numFmtId="3" fontId="25" fillId="2" borderId="111" xfId="0" applyNumberFormat="1" applyFont="1" applyFill="1" applyBorder="1" applyAlignment="1">
      <alignment horizontal="center" vertical="center"/>
    </xf>
    <xf numFmtId="0" fontId="8" fillId="3" borderId="62" xfId="0" applyFont="1" applyFill="1" applyBorder="1" applyAlignment="1">
      <alignment horizontal="center" vertical="center"/>
    </xf>
    <xf numFmtId="0" fontId="8" fillId="3" borderId="69" xfId="0" applyFont="1" applyFill="1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/>
    </xf>
    <xf numFmtId="0" fontId="8" fillId="3" borderId="67" xfId="0" applyFont="1" applyFill="1" applyBorder="1" applyAlignment="1">
      <alignment vertical="center"/>
    </xf>
    <xf numFmtId="0" fontId="8" fillId="3" borderId="67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>
      <alignment horizontal="center" vertical="center"/>
    </xf>
    <xf numFmtId="3" fontId="25" fillId="2" borderId="110" xfId="0" applyNumberFormat="1" applyFont="1" applyFill="1" applyBorder="1" applyAlignment="1" applyProtection="1">
      <alignment horizontal="center" vertical="center"/>
      <protection locked="0"/>
    </xf>
    <xf numFmtId="3" fontId="25" fillId="2" borderId="111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67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5" fillId="2" borderId="87" xfId="0" applyFont="1" applyFill="1" applyBorder="1" applyAlignment="1" applyProtection="1">
      <alignment vertical="center"/>
      <protection locked="0"/>
    </xf>
    <xf numFmtId="0" fontId="0" fillId="0" borderId="87" xfId="0" applyBorder="1" applyAlignment="1" applyProtection="1">
      <alignment vertical="center"/>
      <protection locked="0"/>
    </xf>
    <xf numFmtId="0" fontId="8" fillId="3" borderId="66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8" fillId="18" borderId="3" xfId="0" applyFont="1" applyFill="1" applyBorder="1" applyAlignment="1">
      <alignment horizontal="center"/>
    </xf>
    <xf numFmtId="0" fontId="8" fillId="18" borderId="7" xfId="0" applyFont="1" applyFill="1" applyBorder="1" applyAlignment="1">
      <alignment horizontal="center"/>
    </xf>
    <xf numFmtId="0" fontId="0" fillId="21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8" fillId="18" borderId="24" xfId="0" applyFont="1" applyFill="1" applyBorder="1" applyAlignment="1">
      <alignment vertical="center" wrapText="1"/>
    </xf>
    <xf numFmtId="0" fontId="8" fillId="18" borderId="57" xfId="0" applyFont="1" applyFill="1" applyBorder="1" applyAlignment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66" xfId="0" applyFont="1" applyFill="1" applyBorder="1" applyAlignment="1">
      <alignment vertical="center" wrapText="1" shrinkToFit="1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85" fillId="3" borderId="0" xfId="0" applyFont="1" applyFill="1" applyAlignment="1">
      <alignment vertical="top" wrapText="1"/>
    </xf>
    <xf numFmtId="0" fontId="82" fillId="0" borderId="0" xfId="0" applyFont="1" applyAlignment="1">
      <alignment vertical="top" wrapText="1"/>
    </xf>
    <xf numFmtId="0" fontId="0" fillId="6" borderId="68" xfId="0" applyFill="1" applyBorder="1" applyAlignment="1">
      <alignment vertical="center"/>
    </xf>
    <xf numFmtId="0" fontId="0" fillId="6" borderId="74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1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56" fillId="2" borderId="77" xfId="0" applyFont="1" applyFill="1" applyBorder="1" applyAlignment="1">
      <alignment horizontal="left" vertical="center"/>
    </xf>
    <xf numFmtId="0" fontId="74" fillId="7" borderId="68" xfId="0" applyFont="1" applyFill="1" applyBorder="1" applyAlignment="1">
      <alignment horizontal="left" vertical="center"/>
    </xf>
    <xf numFmtId="0" fontId="74" fillId="7" borderId="74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67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4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4" fillId="3" borderId="0" xfId="0" applyFont="1" applyFill="1"/>
    <xf numFmtId="0" fontId="0" fillId="7" borderId="80" xfId="0" applyFill="1" applyBorder="1" applyAlignment="1" applyProtection="1">
      <alignment horizontal="center"/>
      <protection locked="0"/>
    </xf>
    <xf numFmtId="49" fontId="0" fillId="7" borderId="79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79" xfId="0" applyNumberFormat="1" applyFill="1" applyBorder="1" applyAlignment="1" applyProtection="1">
      <alignment horizontal="center"/>
      <protection locked="0"/>
    </xf>
    <xf numFmtId="0" fontId="0" fillId="7" borderId="79" xfId="0" applyFill="1" applyBorder="1" applyAlignment="1" applyProtection="1">
      <alignment horizontal="center"/>
      <protection locked="0"/>
    </xf>
    <xf numFmtId="0" fontId="0" fillId="0" borderId="79" xfId="0" applyBorder="1" applyProtection="1">
      <protection locked="0"/>
    </xf>
    <xf numFmtId="0" fontId="0" fillId="7" borderId="73" xfId="0" applyFill="1" applyBorder="1" applyProtection="1">
      <protection locked="0"/>
    </xf>
    <xf numFmtId="0" fontId="0" fillId="7" borderId="73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5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02" xfId="0" applyFont="1" applyBorder="1" applyAlignment="1" applyProtection="1">
      <alignment wrapText="1"/>
      <protection locked="0"/>
    </xf>
    <xf numFmtId="0" fontId="0" fillId="0" borderId="103" xfId="0" applyBorder="1" applyProtection="1">
      <protection locked="0"/>
    </xf>
    <xf numFmtId="0" fontId="0" fillId="0" borderId="104" xfId="0" applyBorder="1" applyProtection="1">
      <protection locked="0"/>
    </xf>
    <xf numFmtId="0" fontId="6" fillId="3" borderId="0" xfId="0" applyFont="1" applyFill="1"/>
    <xf numFmtId="0" fontId="12" fillId="0" borderId="0" xfId="0" applyFont="1"/>
    <xf numFmtId="0" fontId="61" fillId="3" borderId="0" xfId="0" applyFont="1" applyFill="1" applyAlignment="1">
      <alignment vertical="center" wrapText="1"/>
    </xf>
    <xf numFmtId="0" fontId="41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61" fillId="3" borderId="75" xfId="0" applyFont="1" applyFill="1" applyBorder="1" applyAlignment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76" xfId="0" applyFont="1" applyBorder="1" applyAlignment="1">
      <alignment horizontal="left" vertical="center"/>
    </xf>
    <xf numFmtId="0" fontId="61" fillId="3" borderId="19" xfId="0" applyFont="1" applyFill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6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77" xfId="0" applyFont="1" applyFill="1" applyBorder="1" applyAlignment="1">
      <alignment vertical="center"/>
    </xf>
    <xf numFmtId="0" fontId="11" fillId="0" borderId="110" xfId="0" applyFont="1" applyBorder="1" applyAlignment="1">
      <alignment vertical="center" wrapText="1" shrinkToFit="1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89" xfId="0" applyFont="1" applyBorder="1" applyAlignment="1">
      <alignment vertical="center" wrapText="1" shrinkToFit="1"/>
    </xf>
    <xf numFmtId="0" fontId="11" fillId="0" borderId="89" xfId="0" applyFont="1" applyBorder="1" applyAlignment="1">
      <alignment vertical="center"/>
    </xf>
    <xf numFmtId="0" fontId="11" fillId="0" borderId="90" xfId="0" applyFont="1" applyBorder="1" applyAlignment="1">
      <alignment vertical="center"/>
    </xf>
    <xf numFmtId="0" fontId="11" fillId="7" borderId="0" xfId="0" applyFont="1" applyFill="1" applyAlignment="1" applyProtection="1">
      <alignment horizontal="center" vertical="center"/>
      <protection locked="0"/>
    </xf>
    <xf numFmtId="0" fontId="41" fillId="6" borderId="68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6" fillId="2" borderId="77" xfId="0" applyFont="1" applyFill="1" applyBorder="1" applyAlignment="1">
      <alignment horizontal="center"/>
    </xf>
    <xf numFmtId="0" fontId="0" fillId="7" borderId="68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82" fillId="3" borderId="0" xfId="0" applyFont="1" applyFill="1" applyAlignment="1">
      <alignment vertical="center" wrapText="1"/>
    </xf>
    <xf numFmtId="0" fontId="82" fillId="0" borderId="0" xfId="0" applyFont="1" applyAlignment="1">
      <alignment vertical="center" wrapText="1"/>
    </xf>
    <xf numFmtId="0" fontId="13" fillId="3" borderId="70" xfId="0" applyFont="1" applyFill="1" applyBorder="1" applyAlignment="1">
      <alignment horizontal="center"/>
    </xf>
    <xf numFmtId="0" fontId="0" fillId="0" borderId="92" xfId="0" applyBorder="1"/>
    <xf numFmtId="0" fontId="0" fillId="0" borderId="93" xfId="0" applyBorder="1"/>
    <xf numFmtId="0" fontId="0" fillId="6" borderId="40" xfId="0" applyFill="1" applyBorder="1" applyAlignment="1">
      <alignment horizontal="center"/>
    </xf>
    <xf numFmtId="0" fontId="0" fillId="7" borderId="79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5" xfId="0" applyFont="1" applyFill="1" applyBorder="1"/>
    <xf numFmtId="0" fontId="0" fillId="0" borderId="76" xfId="0" applyBorder="1"/>
    <xf numFmtId="0" fontId="0" fillId="7" borderId="70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78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5" fillId="9" borderId="0" xfId="0" applyFont="1" applyFill="1" applyAlignment="1">
      <alignment horizontal="center"/>
    </xf>
    <xf numFmtId="0" fontId="29" fillId="9" borderId="68" xfId="0" applyFont="1" applyFill="1" applyBorder="1" applyAlignment="1">
      <alignment horizontal="center"/>
    </xf>
    <xf numFmtId="0" fontId="37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6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68" xfId="0" applyFont="1" applyFill="1" applyBorder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67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49" fontId="12" fillId="3" borderId="0" xfId="0" applyNumberFormat="1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9" fontId="47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68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67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67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67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66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49" fillId="3" borderId="0" xfId="0" applyFont="1" applyFill="1"/>
    <xf numFmtId="0" fontId="50" fillId="0" borderId="0" xfId="0" applyFont="1"/>
    <xf numFmtId="0" fontId="50" fillId="0" borderId="32" xfId="0" applyFont="1" applyBorder="1"/>
    <xf numFmtId="0" fontId="20" fillId="3" borderId="0" xfId="0" applyFont="1" applyFill="1"/>
    <xf numFmtId="0" fontId="41" fillId="0" borderId="0" xfId="0" applyFont="1"/>
    <xf numFmtId="0" fontId="0" fillId="6" borderId="68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3" fillId="3" borderId="0" xfId="0" applyFont="1" applyFill="1"/>
    <xf numFmtId="0" fontId="35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66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3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2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66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5" fillId="3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8" fillId="3" borderId="77" xfId="0" applyFont="1" applyFill="1" applyBorder="1" applyAlignment="1">
      <alignment horizontal="left"/>
    </xf>
    <xf numFmtId="0" fontId="11" fillId="0" borderId="68" xfId="0" applyFont="1" applyBorder="1" applyAlignment="1">
      <alignment horizontal="left"/>
    </xf>
    <xf numFmtId="0" fontId="11" fillId="0" borderId="74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6" fillId="6" borderId="68" xfId="0" applyFont="1" applyFill="1" applyBorder="1"/>
    <xf numFmtId="0" fontId="46" fillId="6" borderId="0" xfId="0" applyFont="1" applyFill="1"/>
    <xf numFmtId="0" fontId="13" fillId="3" borderId="60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1" xfId="0" applyBorder="1"/>
    <xf numFmtId="0" fontId="0" fillId="0" borderId="31" xfId="0" applyBorder="1"/>
    <xf numFmtId="0" fontId="5" fillId="2" borderId="7" xfId="13" applyFont="1" applyFill="1" applyBorder="1" applyAlignment="1" applyProtection="1">
      <alignment horizontal="center"/>
      <protection locked="0"/>
    </xf>
    <xf numFmtId="0" fontId="43" fillId="3" borderId="0" xfId="0" applyFont="1" applyFill="1" applyAlignment="1">
      <alignment horizontal="left" vertical="center"/>
    </xf>
    <xf numFmtId="0" fontId="35" fillId="0" borderId="0" xfId="0" applyFont="1" applyAlignment="1">
      <alignment vertical="center"/>
    </xf>
    <xf numFmtId="0" fontId="11" fillId="0" borderId="87" xfId="0" applyFont="1" applyBorder="1" applyAlignment="1">
      <alignment horizontal="center" vertical="center"/>
    </xf>
    <xf numFmtId="0" fontId="5" fillId="2" borderId="88" xfId="13" applyFont="1" applyFill="1" applyBorder="1" applyAlignment="1" applyProtection="1">
      <alignment horizontal="center"/>
      <protection locked="0"/>
    </xf>
    <xf numFmtId="0" fontId="0" fillId="7" borderId="90" xfId="0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3" borderId="88" xfId="0" applyFont="1" applyFill="1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89" xfId="0" applyFont="1" applyFill="1" applyBorder="1" applyAlignment="1">
      <alignment vertical="center"/>
    </xf>
    <xf numFmtId="0" fontId="8" fillId="3" borderId="90" xfId="0" applyFont="1" applyFill="1" applyBorder="1" applyAlignment="1">
      <alignment vertical="center"/>
    </xf>
    <xf numFmtId="0" fontId="8" fillId="3" borderId="89" xfId="0" applyFont="1" applyFill="1" applyBorder="1" applyAlignment="1">
      <alignment vertical="center" wrapText="1"/>
    </xf>
    <xf numFmtId="0" fontId="8" fillId="3" borderId="90" xfId="0" applyFont="1" applyFill="1" applyBorder="1" applyAlignment="1">
      <alignment vertical="center" wrapText="1"/>
    </xf>
    <xf numFmtId="3" fontId="5" fillId="2" borderId="88" xfId="0" applyNumberFormat="1" applyFont="1" applyFill="1" applyBorder="1" applyAlignment="1" applyProtection="1">
      <alignment horizontal="center" vertical="center"/>
      <protection locked="0"/>
    </xf>
    <xf numFmtId="3" fontId="0" fillId="7" borderId="90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8" fillId="6" borderId="68" xfId="0" applyFont="1" applyFill="1" applyBorder="1"/>
    <xf numFmtId="0" fontId="47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6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33" fillId="6" borderId="0" xfId="0" applyFont="1" applyFill="1" applyAlignment="1">
      <alignment horizontal="center" wrapText="1"/>
    </xf>
    <xf numFmtId="0" fontId="33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66" xfId="0" applyFill="1" applyBorder="1"/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90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67" xfId="0" applyNumberFormat="1" applyBorder="1" applyAlignment="1" applyProtection="1">
      <alignment vertical="center"/>
      <protection locked="0"/>
    </xf>
    <xf numFmtId="0" fontId="8" fillId="3" borderId="66" xfId="0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horizontal="center"/>
    </xf>
    <xf numFmtId="3" fontId="5" fillId="2" borderId="88" xfId="0" applyNumberFormat="1" applyFont="1" applyFill="1" applyBorder="1" applyAlignment="1">
      <alignment vertical="center"/>
    </xf>
    <xf numFmtId="3" fontId="0" fillId="0" borderId="90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68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20" fillId="3" borderId="0" xfId="0" applyFont="1" applyFill="1" applyAlignment="1">
      <alignment horizontal="left" vertical="center"/>
    </xf>
    <xf numFmtId="0" fontId="13" fillId="6" borderId="106" xfId="0" applyFont="1" applyFill="1" applyBorder="1" applyAlignment="1">
      <alignment horizontal="left" vertical="center" wrapText="1"/>
    </xf>
    <xf numFmtId="0" fontId="13" fillId="6" borderId="107" xfId="0" applyFont="1" applyFill="1" applyBorder="1" applyAlignment="1">
      <alignment horizontal="left" vertical="center" wrapText="1"/>
    </xf>
    <xf numFmtId="0" fontId="0" fillId="18" borderId="35" xfId="0" applyFill="1" applyBorder="1" applyAlignment="1">
      <alignment vertical="center"/>
    </xf>
    <xf numFmtId="0" fontId="0" fillId="18" borderId="42" xfId="0" applyFill="1" applyBorder="1" applyAlignment="1">
      <alignment vertical="center"/>
    </xf>
    <xf numFmtId="0" fontId="0" fillId="18" borderId="72" xfId="0" applyFill="1" applyBorder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77" xfId="0" applyFont="1" applyFill="1" applyBorder="1" applyAlignment="1">
      <alignment horizontal="left" vertical="center"/>
    </xf>
    <xf numFmtId="0" fontId="0" fillId="0" borderId="35" xfId="0" applyBorder="1"/>
    <xf numFmtId="0" fontId="0" fillId="0" borderId="95" xfId="0" applyBorder="1"/>
    <xf numFmtId="0" fontId="0" fillId="0" borderId="6" xfId="0" applyBorder="1" applyAlignment="1">
      <alignment vertical="center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67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0" fontId="13" fillId="6" borderId="110" xfId="0" applyFont="1" applyFill="1" applyBorder="1" applyAlignment="1">
      <alignment horizontal="left" vertical="center" wrapText="1"/>
    </xf>
    <xf numFmtId="0" fontId="13" fillId="6" borderId="111" xfId="0" applyFont="1" applyFill="1" applyBorder="1" applyAlignment="1">
      <alignment horizontal="left" vertical="center" wrapText="1"/>
    </xf>
    <xf numFmtId="2" fontId="67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0" fontId="8" fillId="6" borderId="110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22" fillId="3" borderId="0" xfId="0" applyFont="1" applyFill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9" fillId="6" borderId="0" xfId="0" applyFont="1" applyFill="1" applyAlignment="1">
      <alignment horizontal="center" vertical="center" wrapText="1" shrinkToFit="1"/>
    </xf>
    <xf numFmtId="0" fontId="80" fillId="0" borderId="0" xfId="0" applyFont="1" applyAlignment="1">
      <alignment horizontal="center" vertical="center" wrapText="1" shrinkToFit="1"/>
    </xf>
    <xf numFmtId="0" fontId="36" fillId="3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6" fillId="3" borderId="0" xfId="0" applyFont="1" applyFill="1" applyAlignment="1">
      <alignment horizontal="center" vertical="center" wrapText="1"/>
    </xf>
    <xf numFmtId="0" fontId="80" fillId="6" borderId="0" xfId="0" applyFont="1" applyFill="1" applyAlignment="1">
      <alignment horizontal="center" vertical="center"/>
    </xf>
    <xf numFmtId="49" fontId="68" fillId="3" borderId="0" xfId="0" applyNumberFormat="1" applyFont="1" applyFill="1" applyAlignment="1">
      <alignment horizontal="left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68" xfId="0" applyFont="1" applyFill="1" applyBorder="1" applyAlignment="1">
      <alignment horizontal="left" vertical="center" wrapText="1"/>
    </xf>
    <xf numFmtId="0" fontId="73" fillId="6" borderId="68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77" xfId="0" applyFont="1" applyFill="1" applyBorder="1"/>
    <xf numFmtId="0" fontId="0" fillId="0" borderId="69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87" xfId="0" applyFont="1" applyFill="1" applyBorder="1" applyAlignment="1">
      <alignment horizontal="center" vertical="center" wrapText="1"/>
    </xf>
    <xf numFmtId="0" fontId="0" fillId="7" borderId="87" xfId="0" applyFill="1" applyBorder="1" applyAlignment="1">
      <alignment horizontal="center" vertical="center" wrapText="1"/>
    </xf>
    <xf numFmtId="0" fontId="70" fillId="7" borderId="0" xfId="0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69" fillId="7" borderId="0" xfId="0" applyFont="1" applyFill="1" applyAlignment="1">
      <alignment horizontal="center"/>
    </xf>
    <xf numFmtId="0" fontId="70" fillId="7" borderId="0" xfId="0" applyFont="1" applyFill="1"/>
    <xf numFmtId="0" fontId="70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2" fillId="7" borderId="0" xfId="0" applyNumberFormat="1" applyFont="1" applyFill="1" applyAlignment="1">
      <alignment horizontal="center"/>
    </xf>
    <xf numFmtId="49" fontId="16" fillId="7" borderId="0" xfId="0" applyNumberFormat="1" applyFont="1" applyFill="1" applyAlignment="1">
      <alignment horizontal="center"/>
    </xf>
    <xf numFmtId="0" fontId="67" fillId="7" borderId="0" xfId="0" applyFont="1" applyFill="1" applyAlignment="1">
      <alignment horizontal="center"/>
    </xf>
    <xf numFmtId="0" fontId="66" fillId="0" borderId="0" xfId="0" applyFont="1"/>
    <xf numFmtId="0" fontId="66" fillId="7" borderId="0" xfId="0" applyFont="1" applyFill="1"/>
    <xf numFmtId="0" fontId="31" fillId="7" borderId="0" xfId="0" applyFont="1" applyFill="1"/>
    <xf numFmtId="0" fontId="71" fillId="7" borderId="0" xfId="0" applyFont="1" applyFill="1" applyAlignment="1">
      <alignment horizontal="right" vertical="center"/>
    </xf>
    <xf numFmtId="0" fontId="71" fillId="7" borderId="37" xfId="0" applyFont="1" applyFill="1" applyBorder="1" applyAlignment="1">
      <alignment horizontal="right" vertical="center"/>
    </xf>
    <xf numFmtId="0" fontId="0" fillId="7" borderId="68" xfId="0" applyFill="1" applyBorder="1"/>
    <xf numFmtId="0" fontId="57" fillId="7" borderId="0" xfId="0" applyFont="1" applyFill="1" applyAlignment="1">
      <alignment vertical="center"/>
    </xf>
    <xf numFmtId="0" fontId="57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67" xfId="0" applyFill="1" applyBorder="1"/>
    <xf numFmtId="0" fontId="0" fillId="7" borderId="37" xfId="0" applyFill="1" applyBorder="1"/>
    <xf numFmtId="0" fontId="69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0" xfId="10" applyFont="1" applyFill="1" applyBorder="1" applyAlignment="1">
      <alignment horizontal="center" vertical="center"/>
    </xf>
    <xf numFmtId="0" fontId="8" fillId="3" borderId="86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2" xfId="10" applyFont="1" applyFill="1" applyBorder="1" applyAlignment="1">
      <alignment horizontal="center" vertical="center"/>
    </xf>
    <xf numFmtId="0" fontId="3" fillId="0" borderId="69" xfId="10" applyBorder="1" applyAlignment="1">
      <alignment horizontal="center" vertical="center"/>
    </xf>
    <xf numFmtId="0" fontId="3" fillId="0" borderId="94" xfId="10" applyBorder="1" applyAlignment="1">
      <alignment horizontal="center" vertical="center"/>
    </xf>
    <xf numFmtId="0" fontId="3" fillId="0" borderId="96" xfId="10" applyBorder="1" applyAlignment="1">
      <alignment horizontal="center" vertical="center"/>
    </xf>
    <xf numFmtId="0" fontId="8" fillId="3" borderId="69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66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08" xfId="10" applyFont="1" applyFill="1" applyBorder="1" applyAlignment="1">
      <alignment horizontal="center" vertical="center"/>
    </xf>
    <xf numFmtId="0" fontId="3" fillId="0" borderId="108" xfId="10" applyBorder="1" applyAlignment="1">
      <alignment horizontal="center" vertical="center"/>
    </xf>
    <xf numFmtId="0" fontId="24" fillId="6" borderId="105" xfId="10" applyFont="1" applyFill="1" applyBorder="1" applyAlignment="1">
      <alignment horizontal="center" vertical="center"/>
    </xf>
    <xf numFmtId="0" fontId="3" fillId="0" borderId="107" xfId="10" applyBorder="1" applyAlignment="1">
      <alignment horizontal="center" vertical="center"/>
    </xf>
    <xf numFmtId="0" fontId="3" fillId="0" borderId="98" xfId="10" applyBorder="1" applyAlignment="1">
      <alignment horizontal="center" vertical="center"/>
    </xf>
    <xf numFmtId="0" fontId="5" fillId="2" borderId="108" xfId="10" applyFont="1" applyFill="1" applyBorder="1" applyAlignment="1" applyProtection="1">
      <alignment vertical="center"/>
      <protection locked="0"/>
    </xf>
    <xf numFmtId="0" fontId="3" fillId="0" borderId="108" xfId="10" applyBorder="1" applyAlignment="1" applyProtection="1">
      <alignment vertical="center"/>
      <protection locked="0"/>
    </xf>
    <xf numFmtId="49" fontId="5" fillId="2" borderId="108" xfId="10" applyNumberFormat="1" applyFont="1" applyFill="1" applyBorder="1" applyAlignment="1" applyProtection="1">
      <alignment horizontal="center" vertical="center"/>
      <protection locked="0"/>
    </xf>
    <xf numFmtId="0" fontId="3" fillId="0" borderId="108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68" xfId="10" applyFont="1" applyFill="1" applyBorder="1" applyAlignment="1">
      <alignment horizontal="center"/>
    </xf>
    <xf numFmtId="0" fontId="3" fillId="0" borderId="68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106" fillId="19" borderId="0" xfId="11" applyFont="1" applyFill="1" applyAlignment="1">
      <alignment horizontal="justify" vertical="center" wrapText="1"/>
    </xf>
    <xf numFmtId="0" fontId="92" fillId="15" borderId="91" xfId="11" applyFont="1" applyFill="1" applyBorder="1" applyAlignment="1">
      <alignment horizontal="center"/>
    </xf>
    <xf numFmtId="0" fontId="106" fillId="15" borderId="0" xfId="11" applyFont="1" applyFill="1" applyAlignment="1">
      <alignment horizontal="left"/>
    </xf>
    <xf numFmtId="0" fontId="92" fillId="15" borderId="0" xfId="11" applyFont="1" applyFill="1" applyAlignment="1">
      <alignment horizontal="center"/>
    </xf>
    <xf numFmtId="0" fontId="92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left" vertical="center"/>
    </xf>
    <xf numFmtId="0" fontId="106" fillId="15" borderId="70" xfId="11" applyFont="1" applyFill="1" applyBorder="1" applyAlignment="1" applyProtection="1">
      <alignment horizontal="center"/>
      <protection locked="0"/>
    </xf>
    <xf numFmtId="0" fontId="106" fillId="15" borderId="71" xfId="11" applyFont="1" applyFill="1" applyBorder="1" applyAlignment="1" applyProtection="1">
      <alignment horizontal="center"/>
      <protection locked="0"/>
    </xf>
    <xf numFmtId="0" fontId="106" fillId="15" borderId="0" xfId="11" applyFont="1" applyFill="1" applyAlignment="1" applyProtection="1">
      <alignment horizontal="center"/>
      <protection locked="0"/>
    </xf>
    <xf numFmtId="0" fontId="104" fillId="15" borderId="19" xfId="11" applyFont="1" applyFill="1" applyBorder="1" applyAlignment="1">
      <alignment horizontal="center" vertical="center"/>
    </xf>
    <xf numFmtId="0" fontId="104" fillId="15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04" fillId="15" borderId="8" xfId="11" applyFont="1" applyFill="1" applyBorder="1" applyAlignment="1" applyProtection="1">
      <alignment horizontal="left" vertical="center"/>
      <protection locked="0"/>
    </xf>
    <xf numFmtId="0" fontId="104" fillId="15" borderId="89" xfId="11" applyFont="1" applyFill="1" applyBorder="1" applyAlignment="1" applyProtection="1">
      <alignment horizontal="left" vertical="center"/>
      <protection locked="0"/>
    </xf>
    <xf numFmtId="0" fontId="65" fillId="0" borderId="89" xfId="0" applyFont="1" applyBorder="1" applyAlignment="1" applyProtection="1">
      <alignment vertical="center"/>
      <protection locked="0"/>
    </xf>
    <xf numFmtId="0" fontId="65" fillId="0" borderId="43" xfId="0" applyFont="1" applyBorder="1" applyAlignment="1" applyProtection="1">
      <alignment vertical="center"/>
      <protection locked="0"/>
    </xf>
    <xf numFmtId="0" fontId="92" fillId="15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05" fillId="15" borderId="0" xfId="11" applyFont="1" applyFill="1" applyAlignment="1">
      <alignment horizontal="left" vertical="center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49" fontId="104" fillId="15" borderId="8" xfId="11" applyNumberFormat="1" applyFont="1" applyFill="1" applyBorder="1" applyAlignment="1" applyProtection="1">
      <alignment horizontal="left" vertical="center"/>
      <protection locked="0"/>
    </xf>
    <xf numFmtId="49" fontId="104" fillId="15" borderId="89" xfId="11" applyNumberFormat="1" applyFont="1" applyFill="1" applyBorder="1" applyAlignment="1" applyProtection="1">
      <alignment horizontal="left" vertical="center"/>
      <protection locked="0"/>
    </xf>
    <xf numFmtId="49" fontId="104" fillId="15" borderId="43" xfId="11" applyNumberFormat="1" applyFont="1" applyFill="1" applyBorder="1" applyAlignment="1" applyProtection="1">
      <alignment horizontal="left" vertical="center"/>
      <protection locked="0"/>
    </xf>
    <xf numFmtId="0" fontId="103" fillId="15" borderId="0" xfId="11" applyFont="1" applyFill="1" applyAlignment="1">
      <alignment horizontal="center" vertical="center"/>
    </xf>
    <xf numFmtId="49" fontId="105" fillId="15" borderId="8" xfId="11" applyNumberFormat="1" applyFont="1" applyFill="1" applyBorder="1" applyAlignment="1" applyProtection="1">
      <alignment horizontal="left" vertical="center"/>
      <protection locked="0"/>
    </xf>
    <xf numFmtId="49" fontId="105" fillId="15" borderId="89" xfId="11" applyNumberFormat="1" applyFont="1" applyFill="1" applyBorder="1" applyAlignment="1" applyProtection="1">
      <alignment horizontal="left" vertical="center"/>
      <protection locked="0"/>
    </xf>
    <xf numFmtId="49" fontId="105" fillId="15" borderId="43" xfId="11" applyNumberFormat="1" applyFont="1" applyFill="1" applyBorder="1" applyAlignment="1" applyProtection="1">
      <alignment horizontal="left" vertical="center"/>
      <protection locked="0"/>
    </xf>
    <xf numFmtId="0" fontId="92" fillId="15" borderId="77" xfId="11" applyFont="1" applyFill="1" applyBorder="1" applyAlignment="1">
      <alignment horizontal="left" vertical="center"/>
    </xf>
    <xf numFmtId="0" fontId="92" fillId="15" borderId="68" xfId="11" applyFont="1" applyFill="1" applyBorder="1" applyAlignment="1">
      <alignment horizontal="left" vertical="center"/>
    </xf>
    <xf numFmtId="0" fontId="0" fillId="0" borderId="74" xfId="0" applyBorder="1" applyAlignment="1">
      <alignment vertical="center"/>
    </xf>
    <xf numFmtId="0" fontId="92" fillId="15" borderId="19" xfId="11" applyFont="1" applyFill="1" applyBorder="1" applyAlignment="1">
      <alignment horizontal="left" vertical="center"/>
    </xf>
    <xf numFmtId="0" fontId="92" fillId="15" borderId="32" xfId="11" applyFont="1" applyFill="1" applyBorder="1" applyAlignment="1">
      <alignment horizontal="left" vertical="center"/>
    </xf>
    <xf numFmtId="0" fontId="102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left"/>
    </xf>
    <xf numFmtId="0" fontId="92" fillId="15" borderId="97" xfId="11" applyFont="1" applyFill="1" applyBorder="1" applyAlignment="1">
      <alignment horizontal="left" vertical="center"/>
    </xf>
    <xf numFmtId="0" fontId="0" fillId="0" borderId="91" xfId="0" applyBorder="1" applyAlignment="1">
      <alignment vertical="center"/>
    </xf>
    <xf numFmtId="0" fontId="65" fillId="0" borderId="89" xfId="0" applyFont="1" applyBorder="1" applyAlignment="1">
      <alignment vertical="center"/>
    </xf>
    <xf numFmtId="0" fontId="65" fillId="0" borderId="67" xfId="0" applyFont="1" applyBorder="1" applyAlignment="1">
      <alignment vertical="center"/>
    </xf>
    <xf numFmtId="49" fontId="104" fillId="15" borderId="75" xfId="11" applyNumberFormat="1" applyFont="1" applyFill="1" applyBorder="1" applyAlignment="1">
      <alignment horizontal="left" vertical="center"/>
    </xf>
    <xf numFmtId="49" fontId="104" fillId="15" borderId="40" xfId="11" applyNumberFormat="1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92" fillId="15" borderId="0" xfId="11" applyFont="1" applyFill="1" applyAlignment="1">
      <alignment horizontal="left" vertical="center" wrapText="1"/>
    </xf>
    <xf numFmtId="0" fontId="104" fillId="15" borderId="8" xfId="11" applyFont="1" applyFill="1" applyBorder="1" applyAlignment="1">
      <alignment horizontal="left" vertical="center"/>
    </xf>
    <xf numFmtId="0" fontId="104" fillId="15" borderId="89" xfId="11" applyFont="1" applyFill="1" applyBorder="1" applyAlignment="1">
      <alignment horizontal="left" vertical="center"/>
    </xf>
    <xf numFmtId="2" fontId="104" fillId="15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92" fillId="15" borderId="5" xfId="11" applyFont="1" applyFill="1" applyBorder="1" applyAlignment="1">
      <alignment horizontal="left" vertical="center"/>
    </xf>
    <xf numFmtId="0" fontId="92" fillId="15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92" fillId="15" borderId="22" xfId="11" applyNumberFormat="1" applyFont="1" applyFill="1" applyBorder="1" applyAlignment="1">
      <alignment horizontal="left" vertical="center"/>
    </xf>
    <xf numFmtId="2" fontId="92" fillId="15" borderId="6" xfId="11" applyNumberFormat="1" applyFont="1" applyFill="1" applyBorder="1" applyAlignment="1">
      <alignment horizontal="left" vertical="center"/>
    </xf>
    <xf numFmtId="0" fontId="104" fillId="15" borderId="67" xfId="11" applyFont="1" applyFill="1" applyBorder="1" applyAlignment="1" applyProtection="1">
      <alignment horizontal="left" vertical="center"/>
      <protection locked="0"/>
    </xf>
    <xf numFmtId="0" fontId="92" fillId="15" borderId="91" xfId="11" applyFont="1" applyFill="1" applyBorder="1" applyAlignment="1">
      <alignment horizontal="left" vertical="center"/>
    </xf>
    <xf numFmtId="0" fontId="104" fillId="15" borderId="26" xfId="11" applyFont="1" applyFill="1" applyBorder="1" applyAlignment="1" applyProtection="1">
      <alignment horizontal="left" vertical="center"/>
      <protection locked="0"/>
    </xf>
    <xf numFmtId="0" fontId="105" fillId="15" borderId="0" xfId="11" applyFont="1" applyFill="1" applyAlignment="1">
      <alignment horizontal="center" vertical="center"/>
    </xf>
    <xf numFmtId="0" fontId="104" fillId="15" borderId="0" xfId="11" applyFont="1" applyFill="1" applyAlignment="1" applyProtection="1">
      <alignment horizontal="center" vertical="center"/>
      <protection locked="0"/>
    </xf>
    <xf numFmtId="0" fontId="1" fillId="15" borderId="0" xfId="11" applyFill="1" applyAlignment="1">
      <alignment horizontal="center" vertical="center"/>
    </xf>
    <xf numFmtId="0" fontId="1" fillId="15" borderId="0" xfId="11" applyFill="1" applyAlignment="1">
      <alignment horizontal="center"/>
    </xf>
    <xf numFmtId="168" fontId="29" fillId="3" borderId="0" xfId="0" applyNumberFormat="1" applyFont="1" applyFill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5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5" fillId="3" borderId="68" xfId="0" applyFont="1" applyFill="1" applyBorder="1" applyAlignment="1">
      <alignment vertical="top" wrapText="1"/>
    </xf>
    <xf numFmtId="0" fontId="15" fillId="3" borderId="0" xfId="0" applyFont="1" applyFill="1" applyAlignment="1">
      <alignment vertical="top" wrapText="1"/>
    </xf>
    <xf numFmtId="49" fontId="123" fillId="15" borderId="11" xfId="11" applyNumberFormat="1" applyFont="1" applyFill="1" applyBorder="1" applyAlignment="1">
      <alignment horizontal="left" vertical="center" indent="1"/>
    </xf>
    <xf numFmtId="0" fontId="105" fillId="15" borderId="0" xfId="11" applyFont="1" applyFill="1" applyAlignment="1">
      <alignment vertical="center"/>
    </xf>
    <xf numFmtId="49" fontId="104" fillId="15" borderId="105" xfId="11" applyNumberFormat="1" applyFont="1" applyFill="1" applyBorder="1" applyAlignment="1" applyProtection="1">
      <alignment horizontal="center" vertical="center"/>
      <protection locked="0"/>
    </xf>
    <xf numFmtId="49" fontId="104" fillId="15" borderId="111" xfId="11" applyNumberFormat="1" applyFont="1" applyFill="1" applyBorder="1" applyAlignment="1" applyProtection="1">
      <alignment horizontal="center" vertical="center"/>
      <protection locked="0"/>
    </xf>
    <xf numFmtId="166" fontId="104" fillId="15" borderId="105" xfId="11" applyNumberFormat="1" applyFont="1" applyFill="1" applyBorder="1" applyAlignment="1" applyProtection="1">
      <alignment horizontal="center" vertical="center"/>
      <protection locked="0"/>
    </xf>
    <xf numFmtId="166" fontId="104" fillId="15" borderId="111" xfId="11" applyNumberFormat="1" applyFont="1" applyFill="1" applyBorder="1" applyAlignment="1" applyProtection="1">
      <alignment horizontal="center" vertical="center"/>
      <protection locked="0"/>
    </xf>
    <xf numFmtId="14" fontId="104" fillId="15" borderId="105" xfId="11" applyNumberFormat="1" applyFont="1" applyFill="1" applyBorder="1" applyAlignment="1" applyProtection="1">
      <alignment horizontal="center" vertical="center"/>
      <protection locked="0"/>
    </xf>
    <xf numFmtId="14" fontId="104" fillId="15" borderId="111" xfId="11" applyNumberFormat="1" applyFont="1" applyFill="1" applyBorder="1" applyAlignment="1" applyProtection="1">
      <alignment horizontal="center" vertical="center"/>
      <protection locked="0"/>
    </xf>
    <xf numFmtId="0" fontId="92" fillId="15" borderId="95" xfId="11" applyFont="1" applyFill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106" fillId="15" borderId="91" xfId="11" applyFont="1" applyFill="1" applyBorder="1" applyAlignment="1" applyProtection="1">
      <alignment horizontal="center"/>
      <protection locked="0"/>
    </xf>
    <xf numFmtId="0" fontId="106" fillId="15" borderId="92" xfId="11" applyFont="1" applyFill="1" applyBorder="1" applyAlignment="1" applyProtection="1">
      <alignment horizontal="center"/>
      <protection locked="0"/>
    </xf>
    <xf numFmtId="0" fontId="106" fillId="15" borderId="93" xfId="11" applyFont="1" applyFill="1" applyBorder="1" applyAlignment="1" applyProtection="1">
      <alignment horizontal="center"/>
      <protection locked="0"/>
    </xf>
    <xf numFmtId="0" fontId="106" fillId="15" borderId="94" xfId="11" applyFont="1" applyFill="1" applyBorder="1" applyAlignment="1" applyProtection="1">
      <alignment horizontal="center"/>
      <protection locked="0"/>
    </xf>
    <xf numFmtId="0" fontId="106" fillId="15" borderId="95" xfId="11" applyFont="1" applyFill="1" applyBorder="1" applyAlignment="1" applyProtection="1">
      <alignment horizontal="center"/>
      <protection locked="0"/>
    </xf>
    <xf numFmtId="0" fontId="106" fillId="15" borderId="96" xfId="11" applyFont="1" applyFill="1" applyBorder="1" applyAlignment="1" applyProtection="1">
      <alignment horizontal="center"/>
      <protection locked="0"/>
    </xf>
    <xf numFmtId="0" fontId="92" fillId="15" borderId="49" xfId="11" applyFont="1" applyFill="1" applyBorder="1" applyAlignment="1">
      <alignment horizontal="center"/>
    </xf>
    <xf numFmtId="0" fontId="4" fillId="19" borderId="0" xfId="11" applyFont="1" applyFill="1" applyAlignment="1">
      <alignment horizontal="center" vertical="center"/>
    </xf>
    <xf numFmtId="0" fontId="106" fillId="15" borderId="0" xfId="11" applyFont="1" applyFill="1" applyAlignment="1">
      <alignment wrapText="1"/>
    </xf>
    <xf numFmtId="0" fontId="11" fillId="0" borderId="0" xfId="0" applyFont="1" applyAlignment="1">
      <alignment wrapText="1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3399FF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xmlMaps" Target="xmlMap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6AA5942C-DCC0-43FE-84E8-FF4FEADED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69260795-76A6-4DB5-A515-92D9CA2D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ROZDELANE/DzPUCZ22_xm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TODO/DzPFOB21_xml_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8"/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66"/>
      <c r="B1" s="266"/>
      <c r="C1" s="266"/>
      <c r="D1" s="267"/>
      <c r="E1" s="266"/>
      <c r="F1" s="266"/>
      <c r="G1" s="266"/>
      <c r="H1" s="266"/>
      <c r="I1" s="266"/>
      <c r="O1" s="268"/>
    </row>
    <row r="2" spans="1:26" ht="12.75" customHeight="1" thickBot="1">
      <c r="A2" s="266"/>
      <c r="B2" s="269" t="s">
        <v>658</v>
      </c>
      <c r="C2" s="270"/>
      <c r="D2" s="271"/>
      <c r="E2" s="272" t="s">
        <v>659</v>
      </c>
      <c r="F2" s="273"/>
      <c r="G2" s="272">
        <f>COUNTIF(H3:H210,"?*")</f>
        <v>202</v>
      </c>
      <c r="H2" s="274"/>
      <c r="I2" s="266"/>
      <c r="J2" s="275" t="s">
        <v>660</v>
      </c>
      <c r="M2" s="276" t="s">
        <v>661</v>
      </c>
      <c r="N2" s="277" t="s">
        <v>662</v>
      </c>
      <c r="O2" s="278" t="s">
        <v>663</v>
      </c>
      <c r="P2" s="279"/>
      <c r="Q2" s="275"/>
    </row>
    <row r="3" spans="1:26" ht="12.75" customHeight="1">
      <c r="A3" s="266"/>
      <c r="B3" s="280" t="s">
        <v>664</v>
      </c>
      <c r="C3" s="281">
        <v>451</v>
      </c>
      <c r="D3" s="282">
        <f>IF(ISNUMBER(SEARCH(ZAKL_DATA!$B$14,E3)),MAX($D$2:D2)+1,0)</f>
        <v>1</v>
      </c>
      <c r="E3" s="283" t="s">
        <v>665</v>
      </c>
      <c r="F3" s="284">
        <v>2001</v>
      </c>
      <c r="G3" s="285"/>
      <c r="H3" s="286" t="str">
        <f>IFERROR(VLOOKUP(ROWS($H$3:H3),$D$3:$E$204,2,0),"")</f>
        <v>PRAHA 1</v>
      </c>
      <c r="I3" s="266"/>
      <c r="J3" s="287" t="s">
        <v>666</v>
      </c>
      <c r="K3" s="288" t="s">
        <v>148</v>
      </c>
      <c r="M3" s="289">
        <f>IF(ISNUMBER(SEARCH(ZAKL_DATA!$B$29,N3)),MAX($M$2:M2)+1,0)</f>
        <v>1</v>
      </c>
      <c r="N3" s="290" t="s">
        <v>667</v>
      </c>
      <c r="O3" s="291" t="s">
        <v>668</v>
      </c>
      <c r="Q3" s="292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0" t="s">
        <v>667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0" t="s">
        <v>667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0" t="s">
        <v>667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66"/>
      <c r="B4" s="293" t="s">
        <v>669</v>
      </c>
      <c r="C4" s="294">
        <v>452</v>
      </c>
      <c r="D4" s="282">
        <f>IF(ISNUMBER(SEARCH(ZAKL_DATA!$B$14,E4)),MAX($D$2:D3)+1,0)</f>
        <v>2</v>
      </c>
      <c r="E4" s="295" t="s">
        <v>670</v>
      </c>
      <c r="F4" s="296">
        <v>2002</v>
      </c>
      <c r="G4" s="297"/>
      <c r="H4" s="298" t="str">
        <f>IFERROR(VLOOKUP(ROWS($H$3:H4),$D$3:$E$204,2,0),"")</f>
        <v>PRAHA 2</v>
      </c>
      <c r="I4" s="266"/>
      <c r="J4" s="299" t="s">
        <v>671</v>
      </c>
      <c r="K4" s="288" t="s">
        <v>672</v>
      </c>
      <c r="M4" s="289">
        <f>IF(ISNUMBER(SEARCH(ZAKL_DATA!$B$29,N4)),MAX($M$2:M3)+1,0)</f>
        <v>2</v>
      </c>
      <c r="N4" s="290" t="s">
        <v>673</v>
      </c>
      <c r="O4" s="291" t="s">
        <v>674</v>
      </c>
      <c r="Q4" s="292" t="str">
        <f>IFERROR(VLOOKUP(ROWS($Q$3:Q4),$M$3:$N$992,2,0),"")</f>
        <v>Lesnictví a těžba dřeva</v>
      </c>
      <c r="R4">
        <f>IF(ISNUMBER(SEARCH('1Př1'!$A$32,N4)),MAX($M$2:M3)+1,0)</f>
        <v>2</v>
      </c>
      <c r="S4" s="290" t="s">
        <v>673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0" t="s">
        <v>673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0" t="s">
        <v>673</v>
      </c>
      <c r="Z4" t="str">
        <f>IFERROR(VLOOKUP(ROWS($Z$3:Z4),$X$3:$Y$992,2,0),"")</f>
        <v>Lesnictví a těžba dřeva</v>
      </c>
    </row>
    <row r="5" spans="1:26" ht="12.75" customHeight="1">
      <c r="A5" s="266"/>
      <c r="B5" s="293" t="s">
        <v>675</v>
      </c>
      <c r="C5" s="294">
        <v>453</v>
      </c>
      <c r="D5" s="282">
        <f>IF(ISNUMBER(SEARCH(ZAKL_DATA!$B$14,E5)),MAX($D$2:D4)+1,0)</f>
        <v>3</v>
      </c>
      <c r="E5" s="295" t="s">
        <v>676</v>
      </c>
      <c r="F5" s="296">
        <v>2003</v>
      </c>
      <c r="G5" s="297"/>
      <c r="H5" s="298" t="str">
        <f>IFERROR(VLOOKUP(ROWS($H$3:H5),$D$3:$E$204,2,0),"")</f>
        <v>PRAHA 3</v>
      </c>
      <c r="I5" s="266"/>
      <c r="J5" s="299" t="s">
        <v>677</v>
      </c>
      <c r="K5" s="288" t="s">
        <v>678</v>
      </c>
      <c r="M5" s="289">
        <f>IF(ISNUMBER(SEARCH(ZAKL_DATA!$B$29,N5)),MAX($M$2:M4)+1,0)</f>
        <v>3</v>
      </c>
      <c r="N5" s="290" t="s">
        <v>679</v>
      </c>
      <c r="O5" s="291" t="s">
        <v>680</v>
      </c>
      <c r="Q5" s="292" t="str">
        <f>IFERROR(VLOOKUP(ROWS($Q$3:Q5),$M$3:$N$992,2,0),"")</f>
        <v>Rybolov a akvakultura</v>
      </c>
      <c r="R5">
        <f>IF(ISNUMBER(SEARCH('1Př1'!$A$32,N5)),MAX($M$2:M4)+1,0)</f>
        <v>3</v>
      </c>
      <c r="S5" s="290" t="s">
        <v>679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0" t="s">
        <v>679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0" t="s">
        <v>679</v>
      </c>
      <c r="Z5" t="str">
        <f>IFERROR(VLOOKUP(ROWS($Z$3:Z5),$X$3:$Y$992,2,0),"")</f>
        <v>Rybolov a akvakultura</v>
      </c>
    </row>
    <row r="6" spans="1:26" ht="12.75" customHeight="1">
      <c r="A6" s="266"/>
      <c r="B6" s="293" t="s">
        <v>681</v>
      </c>
      <c r="C6" s="294">
        <v>454</v>
      </c>
      <c r="D6" s="282">
        <f>IF(ISNUMBER(SEARCH(ZAKL_DATA!$B$14,E6)),MAX($D$2:D5)+1,0)</f>
        <v>4</v>
      </c>
      <c r="E6" s="295" t="s">
        <v>682</v>
      </c>
      <c r="F6" s="296">
        <v>2004</v>
      </c>
      <c r="G6" s="297"/>
      <c r="H6" s="298" t="str">
        <f>IFERROR(VLOOKUP(ROWS($H$3:H6),$D$3:$E$204,2,0),"")</f>
        <v>PRAHA 4</v>
      </c>
      <c r="I6" s="266"/>
      <c r="J6" s="300" t="s">
        <v>683</v>
      </c>
      <c r="K6" s="288" t="s">
        <v>684</v>
      </c>
      <c r="M6" s="289">
        <f>IF(ISNUMBER(SEARCH(ZAKL_DATA!$B$29,N6)),MAX($M$2:M5)+1,0)</f>
        <v>4</v>
      </c>
      <c r="N6" s="290" t="s">
        <v>685</v>
      </c>
      <c r="O6" s="291" t="s">
        <v>686</v>
      </c>
      <c r="Q6" s="292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0" t="s">
        <v>685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0" t="s">
        <v>685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0" t="s">
        <v>685</v>
      </c>
      <c r="Z6" t="str">
        <f>IFERROR(VLOOKUP(ROWS($Z$3:Z6),$X$3:$Y$992,2,0),"")</f>
        <v>Těžba a úprava černého a hnědého uhlí</v>
      </c>
    </row>
    <row r="7" spans="1:26" ht="12.75" customHeight="1">
      <c r="A7" s="266"/>
      <c r="B7" s="293" t="s">
        <v>687</v>
      </c>
      <c r="C7" s="294">
        <v>455</v>
      </c>
      <c r="D7" s="282">
        <f>IF(ISNUMBER(SEARCH(ZAKL_DATA!$B$14,E7)),MAX($D$2:D6)+1,0)</f>
        <v>5</v>
      </c>
      <c r="E7" s="295" t="s">
        <v>688</v>
      </c>
      <c r="F7" s="296">
        <v>2005</v>
      </c>
      <c r="G7" s="297"/>
      <c r="H7" s="298" t="str">
        <f>IFERROR(VLOOKUP(ROWS($H$3:H7),$D$3:$E$204,2,0),"")</f>
        <v>PRAHA 5</v>
      </c>
      <c r="I7" s="266"/>
      <c r="J7" s="300" t="s">
        <v>689</v>
      </c>
      <c r="K7" s="288" t="s">
        <v>690</v>
      </c>
      <c r="M7" s="289">
        <f>IF(ISNUMBER(SEARCH(ZAKL_DATA!$B$29,N7)),MAX($M$2:M6)+1,0)</f>
        <v>5</v>
      </c>
      <c r="N7" s="290" t="s">
        <v>691</v>
      </c>
      <c r="O7" s="291" t="s">
        <v>692</v>
      </c>
      <c r="Q7" s="292" t="str">
        <f>IFERROR(VLOOKUP(ROWS($Q$3:Q7),$M$3:$N$992,2,0),"")</f>
        <v>Těžba ropy a zemního plynu</v>
      </c>
      <c r="R7">
        <f>IF(ISNUMBER(SEARCH('1Př1'!$A$32,N7)),MAX($M$2:M6)+1,0)</f>
        <v>5</v>
      </c>
      <c r="S7" s="290" t="s">
        <v>691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0" t="s">
        <v>691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0" t="s">
        <v>691</v>
      </c>
      <c r="Z7" t="str">
        <f>IFERROR(VLOOKUP(ROWS($Z$3:Z7),$X$3:$Y$992,2,0),"")</f>
        <v>Těžba ropy a zemního plynu</v>
      </c>
    </row>
    <row r="8" spans="1:26" ht="12.75" customHeight="1">
      <c r="A8" s="266"/>
      <c r="B8" s="293" t="s">
        <v>693</v>
      </c>
      <c r="C8" s="294">
        <v>456</v>
      </c>
      <c r="D8" s="282">
        <f>IF(ISNUMBER(SEARCH(ZAKL_DATA!$B$14,E8)),MAX($D$2:D7)+1,0)</f>
        <v>6</v>
      </c>
      <c r="E8" s="295" t="s">
        <v>694</v>
      </c>
      <c r="F8" s="296">
        <v>2006</v>
      </c>
      <c r="G8" s="297"/>
      <c r="H8" s="298" t="str">
        <f>IFERROR(VLOOKUP(ROWS($H$3:H8),$D$3:$E$204,2,0),"")</f>
        <v>PRAHA 6</v>
      </c>
      <c r="I8" s="266"/>
      <c r="J8" s="300" t="s">
        <v>695</v>
      </c>
      <c r="K8" s="288" t="s">
        <v>696</v>
      </c>
      <c r="M8" s="289">
        <f>IF(ISNUMBER(SEARCH(ZAKL_DATA!$B$29,N8)),MAX($M$2:M7)+1,0)</f>
        <v>6</v>
      </c>
      <c r="N8" s="290" t="s">
        <v>697</v>
      </c>
      <c r="O8" s="291" t="s">
        <v>698</v>
      </c>
      <c r="Q8" s="292" t="str">
        <f>IFERROR(VLOOKUP(ROWS($Q$3:Q8),$M$3:$N$992,2,0),"")</f>
        <v>Těžba a úprava rud</v>
      </c>
      <c r="R8">
        <f>IF(ISNUMBER(SEARCH('1Př1'!$A$32,N8)),MAX($M$2:M7)+1,0)</f>
        <v>6</v>
      </c>
      <c r="S8" s="290" t="s">
        <v>697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0" t="s">
        <v>697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0" t="s">
        <v>697</v>
      </c>
      <c r="Z8" t="str">
        <f>IFERROR(VLOOKUP(ROWS($Z$3:Z8),$X$3:$Y$992,2,0),"")</f>
        <v>Těžba a úprava rud</v>
      </c>
    </row>
    <row r="9" spans="1:26" ht="12.75" customHeight="1">
      <c r="A9" s="266"/>
      <c r="B9" s="293" t="s">
        <v>699</v>
      </c>
      <c r="C9" s="294">
        <v>457</v>
      </c>
      <c r="D9" s="282">
        <f>IF(ISNUMBER(SEARCH(ZAKL_DATA!$B$14,E9)),MAX($D$2:D8)+1,0)</f>
        <v>7</v>
      </c>
      <c r="E9" s="295" t="s">
        <v>700</v>
      </c>
      <c r="F9" s="296">
        <v>2007</v>
      </c>
      <c r="G9" s="297"/>
      <c r="H9" s="298" t="str">
        <f>IFERROR(VLOOKUP(ROWS($H$3:H9),$D$3:$E$204,2,0),"")</f>
        <v>PRAHA 7</v>
      </c>
      <c r="I9" s="266"/>
      <c r="J9" s="300" t="s">
        <v>701</v>
      </c>
      <c r="K9" s="288" t="s">
        <v>702</v>
      </c>
      <c r="M9" s="289">
        <f>IF(ISNUMBER(SEARCH(ZAKL_DATA!$B$29,N9)),MAX($M$2:M8)+1,0)</f>
        <v>7</v>
      </c>
      <c r="N9" s="290" t="s">
        <v>703</v>
      </c>
      <c r="O9" s="291" t="s">
        <v>704</v>
      </c>
      <c r="Q9" s="292" t="str">
        <f>IFERROR(VLOOKUP(ROWS($Q$3:Q9),$M$3:$N$992,2,0),"")</f>
        <v>Ostatní těžba a dobývání</v>
      </c>
      <c r="R9">
        <f>IF(ISNUMBER(SEARCH('1Př1'!$A$32,N9)),MAX($M$2:M8)+1,0)</f>
        <v>7</v>
      </c>
      <c r="S9" s="290" t="s">
        <v>703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0" t="s">
        <v>703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0" t="s">
        <v>703</v>
      </c>
      <c r="Z9" t="str">
        <f>IFERROR(VLOOKUP(ROWS($Z$3:Z9),$X$3:$Y$992,2,0),"")</f>
        <v>Ostatní těžba a dobývání</v>
      </c>
    </row>
    <row r="10" spans="1:26" ht="12.75" customHeight="1">
      <c r="A10" s="266"/>
      <c r="B10" s="293" t="s">
        <v>705</v>
      </c>
      <c r="C10" s="294">
        <v>458</v>
      </c>
      <c r="D10" s="282">
        <f>IF(ISNUMBER(SEARCH(ZAKL_DATA!$B$14,E10)),MAX($D$2:D9)+1,0)</f>
        <v>8</v>
      </c>
      <c r="E10" s="295" t="s">
        <v>706</v>
      </c>
      <c r="F10" s="296">
        <v>2008</v>
      </c>
      <c r="G10" s="297"/>
      <c r="H10" s="298" t="str">
        <f>IFERROR(VLOOKUP(ROWS($H$3:H10),$D$3:$E$204,2,0),"")</f>
        <v>PRAHA 8</v>
      </c>
      <c r="I10" s="266"/>
      <c r="J10" s="300" t="s">
        <v>707</v>
      </c>
      <c r="K10" s="288" t="s">
        <v>708</v>
      </c>
      <c r="M10" s="289">
        <f>IF(ISNUMBER(SEARCH(ZAKL_DATA!$B$29,N10)),MAX($M$2:M9)+1,0)</f>
        <v>8</v>
      </c>
      <c r="N10" s="290" t="s">
        <v>709</v>
      </c>
      <c r="O10" s="291" t="s">
        <v>710</v>
      </c>
      <c r="Q10" s="292" t="str">
        <f>IFERROR(VLOOKUP(ROWS($Q$3:Q10),$M$3:$N$992,2,0),"")</f>
        <v>Podpůrné činnosti při těžbě</v>
      </c>
      <c r="R10">
        <f>IF(ISNUMBER(SEARCH('1Př1'!$A$32,N10)),MAX($M$2:M9)+1,0)</f>
        <v>8</v>
      </c>
      <c r="S10" s="290" t="s">
        <v>709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0" t="s">
        <v>709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0" t="s">
        <v>709</v>
      </c>
      <c r="Z10" t="str">
        <f>IFERROR(VLOOKUP(ROWS($Z$3:Z10),$X$3:$Y$992,2,0),"")</f>
        <v>Podpůrné činnosti při těžbě</v>
      </c>
    </row>
    <row r="11" spans="1:26" ht="12.75" customHeight="1">
      <c r="A11" s="266"/>
      <c r="B11" s="293" t="s">
        <v>711</v>
      </c>
      <c r="C11" s="294">
        <v>459</v>
      </c>
      <c r="D11" s="282">
        <f>IF(ISNUMBER(SEARCH(ZAKL_DATA!$B$14,E11)),MAX($D$2:D10)+1,0)</f>
        <v>9</v>
      </c>
      <c r="E11" s="295" t="s">
        <v>712</v>
      </c>
      <c r="F11" s="296">
        <v>2009</v>
      </c>
      <c r="G11" s="297"/>
      <c r="H11" s="298" t="str">
        <f>IFERROR(VLOOKUP(ROWS($H$3:H11),$D$3:$E$204,2,0),"")</f>
        <v>PRAHA 9</v>
      </c>
      <c r="I11" s="266"/>
      <c r="J11" s="300" t="s">
        <v>713</v>
      </c>
      <c r="K11" s="288" t="s">
        <v>714</v>
      </c>
      <c r="M11" s="289">
        <f>IF(ISNUMBER(SEARCH(ZAKL_DATA!$B$29,N11)),MAX($M$2:M10)+1,0)</f>
        <v>9</v>
      </c>
      <c r="N11" s="290" t="s">
        <v>715</v>
      </c>
      <c r="O11" s="291" t="s">
        <v>716</v>
      </c>
      <c r="Q11" s="292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0" t="s">
        <v>715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0" t="s">
        <v>715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0" t="s">
        <v>715</v>
      </c>
      <c r="Z11" t="str">
        <f>IFERROR(VLOOKUP(ROWS($Z$3:Z11),$X$3:$Y$992,2,0),"")</f>
        <v>Výroba potravinářských výrobků</v>
      </c>
    </row>
    <row r="12" spans="1:26" ht="12.75" customHeight="1">
      <c r="A12" s="266"/>
      <c r="B12" s="293" t="s">
        <v>717</v>
      </c>
      <c r="C12" s="267">
        <v>460</v>
      </c>
      <c r="D12" s="282">
        <f>IF(ISNUMBER(SEARCH(ZAKL_DATA!$B$14,E12)),MAX($D$2:D11)+1,0)</f>
        <v>10</v>
      </c>
      <c r="E12" s="295" t="s">
        <v>718</v>
      </c>
      <c r="F12" s="296">
        <v>2010</v>
      </c>
      <c r="G12" s="297"/>
      <c r="H12" s="298" t="str">
        <f>IFERROR(VLOOKUP(ROWS($H$3:H12),$D$3:$E$204,2,0),"")</f>
        <v>PRAHA 10</v>
      </c>
      <c r="I12" s="266"/>
      <c r="J12" s="300" t="s">
        <v>719</v>
      </c>
      <c r="K12" s="288" t="s">
        <v>720</v>
      </c>
      <c r="M12" s="289">
        <f>IF(ISNUMBER(SEARCH(ZAKL_DATA!$B$29,N12)),MAX($M$2:M11)+1,0)</f>
        <v>10</v>
      </c>
      <c r="N12" s="290" t="s">
        <v>721</v>
      </c>
      <c r="O12" s="291" t="s">
        <v>722</v>
      </c>
      <c r="Q12" s="292" t="str">
        <f>IFERROR(VLOOKUP(ROWS($Q$3:Q12),$M$3:$N$992,2,0),"")</f>
        <v>Výroba nápojů</v>
      </c>
      <c r="R12">
        <f>IF(ISNUMBER(SEARCH('1Př1'!$A$32,N12)),MAX($M$2:M11)+1,0)</f>
        <v>10</v>
      </c>
      <c r="S12" s="290" t="s">
        <v>721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0" t="s">
        <v>721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0" t="s">
        <v>721</v>
      </c>
      <c r="Z12" t="str">
        <f>IFERROR(VLOOKUP(ROWS($Z$3:Z12),$X$3:$Y$992,2,0),"")</f>
        <v>Výroba nápojů</v>
      </c>
    </row>
    <row r="13" spans="1:26" ht="12.75" customHeight="1">
      <c r="A13" s="266"/>
      <c r="B13" s="293" t="s">
        <v>723</v>
      </c>
      <c r="C13" s="294">
        <v>461</v>
      </c>
      <c r="D13" s="282">
        <f>IF(ISNUMBER(SEARCH(ZAKL_DATA!$B$14,E13)),MAX($D$2:D12)+1,0)</f>
        <v>11</v>
      </c>
      <c r="E13" s="295" t="s">
        <v>724</v>
      </c>
      <c r="F13" s="296">
        <v>2011</v>
      </c>
      <c r="G13" s="297"/>
      <c r="H13" s="298" t="str">
        <f>IFERROR(VLOOKUP(ROWS($H$3:H13),$D$3:$E$204,2,0),"")</f>
        <v>PRAHA-JIŽNÍ MĚSTO</v>
      </c>
      <c r="I13" s="266"/>
      <c r="J13" s="300" t="s">
        <v>725</v>
      </c>
      <c r="K13" s="288" t="s">
        <v>726</v>
      </c>
      <c r="M13" s="289">
        <f>IF(ISNUMBER(SEARCH(ZAKL_DATA!$B$29,N13)),MAX($M$2:M12)+1,0)</f>
        <v>11</v>
      </c>
      <c r="N13" s="290" t="s">
        <v>727</v>
      </c>
      <c r="O13" s="291" t="s">
        <v>728</v>
      </c>
      <c r="Q13" s="292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0" t="s">
        <v>727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0" t="s">
        <v>727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0" t="s">
        <v>727</v>
      </c>
      <c r="Z13" t="str">
        <f>IFERROR(VLOOKUP(ROWS($Z$3:Z13),$X$3:$Y$992,2,0),"")</f>
        <v>Pěstování plodin jiných než trvalých</v>
      </c>
    </row>
    <row r="14" spans="1:26" ht="12.75" customHeight="1">
      <c r="A14" s="266"/>
      <c r="B14" s="293" t="s">
        <v>729</v>
      </c>
      <c r="C14" s="294">
        <v>462</v>
      </c>
      <c r="D14" s="282">
        <f>IF(ISNUMBER(SEARCH(ZAKL_DATA!$B$14,E14)),MAX($D$2:D13)+1,0)</f>
        <v>12</v>
      </c>
      <c r="E14" s="295" t="s">
        <v>730</v>
      </c>
      <c r="F14" s="296">
        <v>2012</v>
      </c>
      <c r="G14" s="297"/>
      <c r="H14" s="298" t="str">
        <f>IFERROR(VLOOKUP(ROWS($H$3:H14),$D$3:$E$204,2,0),"")</f>
        <v>PRAHA-MODŘANY</v>
      </c>
      <c r="I14" s="266"/>
      <c r="J14" s="300" t="s">
        <v>731</v>
      </c>
      <c r="K14" s="288" t="s">
        <v>732</v>
      </c>
      <c r="M14" s="289">
        <f>IF(ISNUMBER(SEARCH(ZAKL_DATA!$B$29,N14)),MAX($M$2:M13)+1,0)</f>
        <v>12</v>
      </c>
      <c r="N14" s="290" t="s">
        <v>733</v>
      </c>
      <c r="O14" s="291" t="s">
        <v>734</v>
      </c>
      <c r="Q14" s="292" t="str">
        <f>IFERROR(VLOOKUP(ROWS($Q$3:Q14),$M$3:$N$992,2,0),"")</f>
        <v>Výroba tabákových výrobků</v>
      </c>
      <c r="R14">
        <f>IF(ISNUMBER(SEARCH('1Př1'!$A$32,N14)),MAX($M$2:M13)+1,0)</f>
        <v>12</v>
      </c>
      <c r="S14" s="290" t="s">
        <v>733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0" t="s">
        <v>733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0" t="s">
        <v>733</v>
      </c>
      <c r="Z14" t="str">
        <f>IFERROR(VLOOKUP(ROWS($Z$3:Z14),$X$3:$Y$992,2,0),"")</f>
        <v>Výroba tabákových výrobků</v>
      </c>
    </row>
    <row r="15" spans="1:26" ht="12.75" customHeight="1">
      <c r="A15" s="266"/>
      <c r="B15" s="293" t="s">
        <v>735</v>
      </c>
      <c r="C15" s="294">
        <v>463</v>
      </c>
      <c r="D15" s="282">
        <f>IF(ISNUMBER(SEARCH(ZAKL_DATA!$B$14,E15)),MAX($D$2:D14)+1,0)</f>
        <v>13</v>
      </c>
      <c r="E15" s="295" t="s">
        <v>736</v>
      </c>
      <c r="F15" s="296">
        <v>2101</v>
      </c>
      <c r="G15" s="297"/>
      <c r="H15" s="298" t="str">
        <f>IFERROR(VLOOKUP(ROWS($H$3:H15),$D$3:$E$204,2,0),"")</f>
        <v>PRAHA - VÝCHOD</v>
      </c>
      <c r="I15" s="266"/>
      <c r="J15" s="300" t="s">
        <v>737</v>
      </c>
      <c r="K15" s="288" t="s">
        <v>738</v>
      </c>
      <c r="M15" s="289">
        <f>IF(ISNUMBER(SEARCH(ZAKL_DATA!$B$29,N15)),MAX($M$2:M14)+1,0)</f>
        <v>13</v>
      </c>
      <c r="N15" s="290" t="s">
        <v>739</v>
      </c>
      <c r="O15" s="291" t="s">
        <v>740</v>
      </c>
      <c r="Q15" s="292" t="str">
        <f>IFERROR(VLOOKUP(ROWS($Q$3:Q15),$M$3:$N$992,2,0),"")</f>
        <v>Pěstování trvalých plodin</v>
      </c>
      <c r="R15">
        <f>IF(ISNUMBER(SEARCH('1Př1'!$A$32,N15)),MAX($M$2:M14)+1,0)</f>
        <v>13</v>
      </c>
      <c r="S15" s="290" t="s">
        <v>739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0" t="s">
        <v>739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0" t="s">
        <v>739</v>
      </c>
      <c r="Z15" t="str">
        <f>IFERROR(VLOOKUP(ROWS($Z$3:Z15),$X$3:$Y$992,2,0),"")</f>
        <v>Pěstování trvalých plodin</v>
      </c>
    </row>
    <row r="16" spans="1:26" ht="12.75" customHeight="1">
      <c r="A16" s="266"/>
      <c r="B16" s="293" t="s">
        <v>741</v>
      </c>
      <c r="C16" s="294">
        <v>464</v>
      </c>
      <c r="D16" s="282">
        <f>IF(ISNUMBER(SEARCH(ZAKL_DATA!$B$14,E16)),MAX($D$2:D15)+1,0)</f>
        <v>14</v>
      </c>
      <c r="E16" s="295" t="s">
        <v>742</v>
      </c>
      <c r="F16" s="296">
        <v>2102</v>
      </c>
      <c r="G16" s="297"/>
      <c r="H16" s="298" t="str">
        <f>IFERROR(VLOOKUP(ROWS($H$3:H16),$D$3:$E$204,2,0),"")</f>
        <v>PRAHA ZÁPAD</v>
      </c>
      <c r="I16" s="266"/>
      <c r="J16" s="300" t="s">
        <v>743</v>
      </c>
      <c r="K16" s="288" t="s">
        <v>744</v>
      </c>
      <c r="M16" s="289">
        <f>IF(ISNUMBER(SEARCH(ZAKL_DATA!$B$29,N16)),MAX($M$2:M15)+1,0)</f>
        <v>14</v>
      </c>
      <c r="N16" s="290" t="s">
        <v>745</v>
      </c>
      <c r="O16" s="291" t="s">
        <v>746</v>
      </c>
      <c r="Q16" s="292" t="str">
        <f>IFERROR(VLOOKUP(ROWS($Q$3:Q16),$M$3:$N$992,2,0),"")</f>
        <v>Výroba textilií</v>
      </c>
      <c r="R16">
        <f>IF(ISNUMBER(SEARCH('1Př1'!$A$32,N16)),MAX($M$2:M15)+1,0)</f>
        <v>14</v>
      </c>
      <c r="S16" s="290" t="s">
        <v>745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0" t="s">
        <v>745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0" t="s">
        <v>745</v>
      </c>
      <c r="Z16" t="str">
        <f>IFERROR(VLOOKUP(ROWS($Z$3:Z16),$X$3:$Y$992,2,0),"")</f>
        <v>Výroba textilií</v>
      </c>
    </row>
    <row r="17" spans="1:26" ht="12.75" customHeight="1" thickBot="1">
      <c r="A17" s="266"/>
      <c r="B17" s="301" t="s">
        <v>747</v>
      </c>
      <c r="C17" s="302">
        <v>13</v>
      </c>
      <c r="D17" s="282">
        <f>IF(ISNUMBER(SEARCH(ZAKL_DATA!$B$14,E17)),MAX($D$2:D16)+1,0)</f>
        <v>15</v>
      </c>
      <c r="E17" s="295" t="s">
        <v>748</v>
      </c>
      <c r="F17" s="296">
        <v>2103</v>
      </c>
      <c r="G17" s="297"/>
      <c r="H17" s="298" t="str">
        <f>IFERROR(VLOOKUP(ROWS($H$3:H17),$D$3:$E$204,2,0),"")</f>
        <v>BENEŠOV</v>
      </c>
      <c r="I17" s="266"/>
      <c r="J17" s="300" t="s">
        <v>749</v>
      </c>
      <c r="K17" s="288" t="s">
        <v>750</v>
      </c>
      <c r="M17" s="289">
        <f>IF(ISNUMBER(SEARCH(ZAKL_DATA!$B$29,N17)),MAX($M$2:M16)+1,0)</f>
        <v>15</v>
      </c>
      <c r="N17" s="290" t="s">
        <v>751</v>
      </c>
      <c r="O17" s="291" t="s">
        <v>752</v>
      </c>
      <c r="Q17" s="292" t="str">
        <f>IFERROR(VLOOKUP(ROWS($Q$3:Q17),$M$3:$N$992,2,0),"")</f>
        <v>Množení rostlin</v>
      </c>
      <c r="R17">
        <f>IF(ISNUMBER(SEARCH('1Př1'!$A$32,N17)),MAX($M$2:M16)+1,0)</f>
        <v>15</v>
      </c>
      <c r="S17" s="290" t="s">
        <v>751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0" t="s">
        <v>751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0" t="s">
        <v>751</v>
      </c>
      <c r="Z17" t="str">
        <f>IFERROR(VLOOKUP(ROWS($Z$3:Z17),$X$3:$Y$992,2,0),"")</f>
        <v>Množení rostlin</v>
      </c>
    </row>
    <row r="18" spans="1:26" ht="12.75" customHeight="1">
      <c r="A18" s="266"/>
      <c r="B18" s="266"/>
      <c r="C18" s="266"/>
      <c r="D18" s="282">
        <f>IF(ISNUMBER(SEARCH(ZAKL_DATA!$B$14,E18)),MAX($D$2:D17)+1,0)</f>
        <v>16</v>
      </c>
      <c r="E18" s="295" t="s">
        <v>753</v>
      </c>
      <c r="F18" s="296">
        <v>2104</v>
      </c>
      <c r="G18" s="297"/>
      <c r="H18" s="298" t="str">
        <f>IFERROR(VLOOKUP(ROWS($H$3:H18),$D$3:$E$204,2,0),"")</f>
        <v>BEROUN</v>
      </c>
      <c r="I18" s="266"/>
      <c r="J18" s="300" t="s">
        <v>754</v>
      </c>
      <c r="K18" s="288" t="s">
        <v>755</v>
      </c>
      <c r="M18" s="289">
        <f>IF(ISNUMBER(SEARCH(ZAKL_DATA!$B$29,N18)),MAX($M$2:M17)+1,0)</f>
        <v>16</v>
      </c>
      <c r="N18" s="290" t="s">
        <v>756</v>
      </c>
      <c r="O18" s="291" t="s">
        <v>757</v>
      </c>
      <c r="Q18" s="292" t="str">
        <f>IFERROR(VLOOKUP(ROWS($Q$3:Q18),$M$3:$N$992,2,0),"")</f>
        <v>Výroba oděvů</v>
      </c>
      <c r="R18">
        <f>IF(ISNUMBER(SEARCH('1Př1'!$A$32,N18)),MAX($M$2:M17)+1,0)</f>
        <v>16</v>
      </c>
      <c r="S18" s="290" t="s">
        <v>756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0" t="s">
        <v>756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0" t="s">
        <v>756</v>
      </c>
      <c r="Z18" t="str">
        <f>IFERROR(VLOOKUP(ROWS($Z$3:Z18),$X$3:$Y$992,2,0),"")</f>
        <v>Výroba oděvů</v>
      </c>
    </row>
    <row r="19" spans="1:26" ht="12.75" customHeight="1">
      <c r="A19" s="266"/>
      <c r="B19" s="266"/>
      <c r="C19" s="266"/>
      <c r="D19" s="282">
        <f>IF(ISNUMBER(SEARCH(ZAKL_DATA!$B$14,E19)),MAX($D$2:D18)+1,0)</f>
        <v>17</v>
      </c>
      <c r="E19" s="295" t="s">
        <v>758</v>
      </c>
      <c r="F19" s="296">
        <v>2105</v>
      </c>
      <c r="G19" s="297"/>
      <c r="H19" s="298" t="str">
        <f>IFERROR(VLOOKUP(ROWS($H$3:H19),$D$3:$E$204,2,0),"")</f>
        <v>BRANDÝS N.L. - ST.BOL.</v>
      </c>
      <c r="I19" s="266"/>
      <c r="J19" s="300" t="s">
        <v>759</v>
      </c>
      <c r="K19" s="288" t="s">
        <v>760</v>
      </c>
      <c r="M19" s="289">
        <f>IF(ISNUMBER(SEARCH(ZAKL_DATA!$B$29,N19)),MAX($M$2:M18)+1,0)</f>
        <v>17</v>
      </c>
      <c r="N19" s="290" t="s">
        <v>761</v>
      </c>
      <c r="O19" s="291" t="s">
        <v>762</v>
      </c>
      <c r="Q19" s="292" t="str">
        <f>IFERROR(VLOOKUP(ROWS($Q$3:Q19),$M$3:$N$992,2,0),"")</f>
        <v>živočišná výroba</v>
      </c>
      <c r="R19">
        <f>IF(ISNUMBER(SEARCH('1Př1'!$A$32,N19)),MAX($M$2:M18)+1,0)</f>
        <v>17</v>
      </c>
      <c r="S19" s="290" t="s">
        <v>761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0" t="s">
        <v>761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0" t="s">
        <v>761</v>
      </c>
      <c r="Z19" t="str">
        <f>IFERROR(VLOOKUP(ROWS($Z$3:Z19),$X$3:$Y$992,2,0),"")</f>
        <v>živočišná výroba</v>
      </c>
    </row>
    <row r="20" spans="1:26" ht="12.75" customHeight="1">
      <c r="A20" s="266"/>
      <c r="B20" s="266"/>
      <c r="C20" s="266"/>
      <c r="D20" s="282">
        <f>IF(ISNUMBER(SEARCH(ZAKL_DATA!$B$14,E20)),MAX($D$2:D19)+1,0)</f>
        <v>18</v>
      </c>
      <c r="E20" s="295" t="s">
        <v>763</v>
      </c>
      <c r="F20" s="296">
        <v>2106</v>
      </c>
      <c r="G20" s="297"/>
      <c r="H20" s="298" t="str">
        <f>IFERROR(VLOOKUP(ROWS($H$3:H20),$D$3:$E$204,2,0),"")</f>
        <v>ČÁSLAV</v>
      </c>
      <c r="I20" s="266"/>
      <c r="J20" s="300" t="s">
        <v>764</v>
      </c>
      <c r="K20" s="288" t="s">
        <v>765</v>
      </c>
      <c r="M20" s="289">
        <f>IF(ISNUMBER(SEARCH(ZAKL_DATA!$B$29,N20)),MAX($M$2:M19)+1,0)</f>
        <v>18</v>
      </c>
      <c r="N20" s="290" t="s">
        <v>766</v>
      </c>
      <c r="O20" s="291" t="s">
        <v>767</v>
      </c>
      <c r="Q20" s="292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0" t="s">
        <v>766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0" t="s">
        <v>766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0" t="s">
        <v>766</v>
      </c>
      <c r="Z20" t="str">
        <f>IFERROR(VLOOKUP(ROWS($Z$3:Z20),$X$3:$Y$992,2,0),"")</f>
        <v>Výroba usní a souvisejících výrobků</v>
      </c>
    </row>
    <row r="21" spans="1:26" ht="12.75" customHeight="1">
      <c r="A21" s="266"/>
      <c r="B21" s="266"/>
      <c r="C21" s="266"/>
      <c r="D21" s="282">
        <f>IF(ISNUMBER(SEARCH(ZAKL_DATA!$B$14,E21)),MAX($D$2:D20)+1,0)</f>
        <v>19</v>
      </c>
      <c r="E21" s="295" t="s">
        <v>768</v>
      </c>
      <c r="F21" s="296">
        <v>2107</v>
      </c>
      <c r="G21" s="297"/>
      <c r="H21" s="298" t="str">
        <f>IFERROR(VLOOKUP(ROWS($H$3:H21),$D$3:$E$204,2,0),"")</f>
        <v>ČESKÝ BROD</v>
      </c>
      <c r="I21" s="266"/>
      <c r="J21" s="300" t="s">
        <v>769</v>
      </c>
      <c r="K21" s="288" t="s">
        <v>770</v>
      </c>
      <c r="M21" s="289">
        <f>IF(ISNUMBER(SEARCH(ZAKL_DATA!$B$29,N21)),MAX($M$2:M20)+1,0)</f>
        <v>19</v>
      </c>
      <c r="N21" s="290" t="s">
        <v>771</v>
      </c>
      <c r="O21" s="291" t="s">
        <v>772</v>
      </c>
      <c r="Q21" s="292" t="str">
        <f>IFERROR(VLOOKUP(ROWS($Q$3:Q21),$M$3:$N$992,2,0),"")</f>
        <v>Smíšené hospodářství</v>
      </c>
      <c r="R21">
        <f>IF(ISNUMBER(SEARCH('1Př1'!$A$32,N21)),MAX($M$2:M20)+1,0)</f>
        <v>19</v>
      </c>
      <c r="S21" s="290" t="s">
        <v>771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0" t="s">
        <v>771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0" t="s">
        <v>771</v>
      </c>
      <c r="Z21" t="str">
        <f>IFERROR(VLOOKUP(ROWS($Z$3:Z21),$X$3:$Y$992,2,0),"")</f>
        <v>Smíšené hospodářství</v>
      </c>
    </row>
    <row r="22" spans="1:26" ht="12.75" customHeight="1">
      <c r="A22" s="266"/>
      <c r="B22" s="266"/>
      <c r="C22" s="266"/>
      <c r="D22" s="282">
        <f>IF(ISNUMBER(SEARCH(ZAKL_DATA!$B$14,E22)),MAX($D$2:D21)+1,0)</f>
        <v>20</v>
      </c>
      <c r="E22" s="295" t="s">
        <v>773</v>
      </c>
      <c r="F22" s="296">
        <v>2108</v>
      </c>
      <c r="G22" s="297"/>
      <c r="H22" s="298" t="str">
        <f>IFERROR(VLOOKUP(ROWS($H$3:H22),$D$3:$E$204,2,0),"")</f>
        <v>DOBŘÍŠ</v>
      </c>
      <c r="I22" s="266"/>
      <c r="J22" s="300" t="s">
        <v>774</v>
      </c>
      <c r="K22" s="288" t="s">
        <v>775</v>
      </c>
      <c r="M22" s="289">
        <f>IF(ISNUMBER(SEARCH(ZAKL_DATA!$B$29,N22)),MAX($M$2:M21)+1,0)</f>
        <v>20</v>
      </c>
      <c r="N22" s="290" t="s">
        <v>776</v>
      </c>
      <c r="O22" s="291" t="s">
        <v>777</v>
      </c>
      <c r="Q22" s="292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0" t="s">
        <v>776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0" t="s">
        <v>776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0" t="s">
        <v>776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66"/>
      <c r="B23" s="266"/>
      <c r="C23" s="266"/>
      <c r="D23" s="282">
        <f>IF(ISNUMBER(SEARCH(ZAKL_DATA!$B$14,E23)),MAX($D$2:D22)+1,0)</f>
        <v>21</v>
      </c>
      <c r="E23" s="295" t="s">
        <v>778</v>
      </c>
      <c r="F23" s="296">
        <v>2109</v>
      </c>
      <c r="G23" s="297"/>
      <c r="H23" s="298" t="str">
        <f>IFERROR(VLOOKUP(ROWS($H$3:H23),$D$3:$E$204,2,0),"")</f>
        <v>HOŘOVICE</v>
      </c>
      <c r="I23" s="266"/>
      <c r="J23" s="300" t="s">
        <v>779</v>
      </c>
      <c r="K23" s="288" t="s">
        <v>780</v>
      </c>
      <c r="M23" s="289">
        <f>IF(ISNUMBER(SEARCH(ZAKL_DATA!$B$29,N23)),MAX($M$2:M22)+1,0)</f>
        <v>21</v>
      </c>
      <c r="N23" s="290" t="s">
        <v>781</v>
      </c>
      <c r="O23" s="291" t="s">
        <v>782</v>
      </c>
      <c r="Q23" s="292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0" t="s">
        <v>781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0" t="s">
        <v>781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0" t="s">
        <v>781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66"/>
      <c r="B24" s="266"/>
      <c r="C24" s="266"/>
      <c r="D24" s="282">
        <f>IF(ISNUMBER(SEARCH(ZAKL_DATA!$B$14,E24)),MAX($D$2:D23)+1,0)</f>
        <v>22</v>
      </c>
      <c r="E24" s="295" t="s">
        <v>783</v>
      </c>
      <c r="F24" s="296">
        <v>2110</v>
      </c>
      <c r="G24" s="297"/>
      <c r="H24" s="298" t="str">
        <f>IFERROR(VLOOKUP(ROWS($H$3:H24),$D$3:$E$204,2,0),"")</f>
        <v>KLADNO</v>
      </c>
      <c r="I24" s="266"/>
      <c r="J24" s="300" t="s">
        <v>784</v>
      </c>
      <c r="K24" s="288" t="s">
        <v>785</v>
      </c>
      <c r="M24" s="289">
        <f>IF(ISNUMBER(SEARCH(ZAKL_DATA!$B$29,N24)),MAX($M$2:M23)+1,0)</f>
        <v>22</v>
      </c>
      <c r="N24" s="290" t="s">
        <v>786</v>
      </c>
      <c r="O24" s="291" t="s">
        <v>787</v>
      </c>
      <c r="Q24" s="292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0" t="s">
        <v>786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0" t="s">
        <v>786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0" t="s">
        <v>786</v>
      </c>
      <c r="Z24" t="str">
        <f>IFERROR(VLOOKUP(ROWS($Z$3:Z24),$X$3:$Y$992,2,0),"")</f>
        <v>Výroba papíru a výrobků z papíru</v>
      </c>
    </row>
    <row r="25" spans="1:26" ht="12.75" customHeight="1">
      <c r="A25" s="266"/>
      <c r="B25" s="266"/>
      <c r="C25" s="266"/>
      <c r="D25" s="282">
        <f>IF(ISNUMBER(SEARCH(ZAKL_DATA!$B$14,E25)),MAX($D$2:D24)+1,0)</f>
        <v>23</v>
      </c>
      <c r="E25" s="295" t="s">
        <v>788</v>
      </c>
      <c r="F25" s="296">
        <v>2111</v>
      </c>
      <c r="G25" s="297"/>
      <c r="H25" s="298" t="str">
        <f>IFERROR(VLOOKUP(ROWS($H$3:H25),$D$3:$E$204,2,0),"")</f>
        <v>KOLÍN</v>
      </c>
      <c r="I25" s="266"/>
      <c r="J25" s="300" t="s">
        <v>789</v>
      </c>
      <c r="K25" s="288" t="s">
        <v>790</v>
      </c>
      <c r="M25" s="289">
        <f>IF(ISNUMBER(SEARCH(ZAKL_DATA!$B$29,N25)),MAX($M$2:M24)+1,0)</f>
        <v>23</v>
      </c>
      <c r="N25" s="290" t="s">
        <v>791</v>
      </c>
      <c r="O25" s="291" t="s">
        <v>792</v>
      </c>
      <c r="Q25" s="292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0" t="s">
        <v>791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0" t="s">
        <v>791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0" t="s">
        <v>791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66"/>
      <c r="B26" s="266"/>
      <c r="C26" s="266"/>
      <c r="D26" s="282">
        <f>IF(ISNUMBER(SEARCH(ZAKL_DATA!$B$14,E26)),MAX($D$2:D25)+1,0)</f>
        <v>24</v>
      </c>
      <c r="E26" s="295" t="s">
        <v>793</v>
      </c>
      <c r="F26" s="296">
        <v>2112</v>
      </c>
      <c r="G26" s="297"/>
      <c r="H26" s="298" t="str">
        <f>IFERROR(VLOOKUP(ROWS($H$3:H26),$D$3:$E$204,2,0),"")</f>
        <v>KRALUPY NAD VLTAVOU</v>
      </c>
      <c r="I26" s="266"/>
      <c r="J26" s="300" t="s">
        <v>794</v>
      </c>
      <c r="K26" s="288" t="s">
        <v>795</v>
      </c>
      <c r="M26" s="289">
        <f>IF(ISNUMBER(SEARCH(ZAKL_DATA!$B$29,N26)),MAX($M$2:M25)+1,0)</f>
        <v>24</v>
      </c>
      <c r="N26" s="290" t="s">
        <v>796</v>
      </c>
      <c r="O26" s="291" t="s">
        <v>797</v>
      </c>
      <c r="Q26" s="292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0" t="s">
        <v>796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0" t="s">
        <v>796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0" t="s">
        <v>796</v>
      </c>
      <c r="Z26" t="str">
        <f>IFERROR(VLOOKUP(ROWS($Z$3:Z26),$X$3:$Y$992,2,0),"")</f>
        <v>Tisk a rozmnožování nahraných nosičů</v>
      </c>
    </row>
    <row r="27" spans="1:26" ht="12.75" customHeight="1">
      <c r="A27" s="266"/>
      <c r="B27" s="266"/>
      <c r="C27" s="266"/>
      <c r="D27" s="282">
        <f>IF(ISNUMBER(SEARCH(ZAKL_DATA!$B$14,E27)),MAX($D$2:D26)+1,0)</f>
        <v>25</v>
      </c>
      <c r="E27" s="295" t="s">
        <v>798</v>
      </c>
      <c r="F27" s="296">
        <v>2113</v>
      </c>
      <c r="G27" s="297"/>
      <c r="H27" s="298" t="str">
        <f>IFERROR(VLOOKUP(ROWS($H$3:H27),$D$3:$E$204,2,0),"")</f>
        <v>KUTNÁ HORA</v>
      </c>
      <c r="I27" s="266"/>
      <c r="J27" s="300" t="s">
        <v>799</v>
      </c>
      <c r="K27" s="288" t="s">
        <v>800</v>
      </c>
      <c r="M27" s="289">
        <f>IF(ISNUMBER(SEARCH(ZAKL_DATA!$B$29,N27)),MAX($M$2:M26)+1,0)</f>
        <v>25</v>
      </c>
      <c r="N27" s="290" t="s">
        <v>801</v>
      </c>
      <c r="O27" s="291" t="s">
        <v>802</v>
      </c>
      <c r="Q27" s="292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0" t="s">
        <v>801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0" t="s">
        <v>801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0" t="s">
        <v>801</v>
      </c>
      <c r="Z27" t="str">
        <f>IFERROR(VLOOKUP(ROWS($Z$3:Z27),$X$3:$Y$992,2,0),"")</f>
        <v>Výroba koksu a rafinovaných ropných produktů</v>
      </c>
    </row>
    <row r="28" spans="1:26" ht="12.75" customHeight="1">
      <c r="A28" s="266"/>
      <c r="B28" s="266"/>
      <c r="C28" s="266"/>
      <c r="D28" s="282">
        <f>IF(ISNUMBER(SEARCH(ZAKL_DATA!$B$14,E28)),MAX($D$2:D27)+1,0)</f>
        <v>26</v>
      </c>
      <c r="E28" s="295" t="s">
        <v>803</v>
      </c>
      <c r="F28" s="296">
        <v>2114</v>
      </c>
      <c r="G28" s="297"/>
      <c r="H28" s="298" t="str">
        <f>IFERROR(VLOOKUP(ROWS($H$3:H28),$D$3:$E$204,2,0),"")</f>
        <v>MĚLNÍK</v>
      </c>
      <c r="I28" s="266"/>
      <c r="J28" s="300" t="s">
        <v>804</v>
      </c>
      <c r="K28" s="288" t="s">
        <v>805</v>
      </c>
      <c r="M28" s="289">
        <f>IF(ISNUMBER(SEARCH(ZAKL_DATA!$B$29,N28)),MAX($M$2:M27)+1,0)</f>
        <v>26</v>
      </c>
      <c r="N28" s="290" t="s">
        <v>806</v>
      </c>
      <c r="O28" s="291" t="s">
        <v>807</v>
      </c>
      <c r="Q28" s="292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0" t="s">
        <v>806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0" t="s">
        <v>806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0" t="s">
        <v>806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66"/>
      <c r="B29" s="266"/>
      <c r="C29" s="266"/>
      <c r="D29" s="282">
        <f>IF(ISNUMBER(SEARCH(ZAKL_DATA!$B$14,E29)),MAX($D$2:D28)+1,0)</f>
        <v>27</v>
      </c>
      <c r="E29" s="295" t="s">
        <v>808</v>
      </c>
      <c r="F29" s="296">
        <v>2115</v>
      </c>
      <c r="G29" s="297"/>
      <c r="H29" s="298" t="str">
        <f>IFERROR(VLOOKUP(ROWS($H$3:H29),$D$3:$E$204,2,0),"")</f>
        <v>MLADÁ BOLESLAV</v>
      </c>
      <c r="I29" s="266"/>
      <c r="J29" s="300" t="s">
        <v>809</v>
      </c>
      <c r="K29" s="288" t="s">
        <v>810</v>
      </c>
      <c r="M29" s="289">
        <f>IF(ISNUMBER(SEARCH(ZAKL_DATA!$B$29,N29)),MAX($M$2:M28)+1,0)</f>
        <v>27</v>
      </c>
      <c r="N29" s="290" t="s">
        <v>811</v>
      </c>
      <c r="O29" s="291" t="s">
        <v>812</v>
      </c>
      <c r="Q29" s="292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0" t="s">
        <v>811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0" t="s">
        <v>811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0" t="s">
        <v>811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66"/>
      <c r="B30" s="266"/>
      <c r="C30" s="266"/>
      <c r="D30" s="282">
        <f>IF(ISNUMBER(SEARCH(ZAKL_DATA!$B$14,E30)),MAX($D$2:D29)+1,0)</f>
        <v>28</v>
      </c>
      <c r="E30" s="295" t="s">
        <v>813</v>
      </c>
      <c r="F30" s="296">
        <v>2116</v>
      </c>
      <c r="G30" s="297"/>
      <c r="H30" s="298" t="str">
        <f>IFERROR(VLOOKUP(ROWS($H$3:H30),$D$3:$E$204,2,0),"")</f>
        <v>MNICHOVO HRADIŠTĚ</v>
      </c>
      <c r="I30" s="266"/>
      <c r="J30" s="300" t="s">
        <v>814</v>
      </c>
      <c r="K30" s="288" t="s">
        <v>815</v>
      </c>
      <c r="M30" s="289">
        <f>IF(ISNUMBER(SEARCH(ZAKL_DATA!$B$29,N30)),MAX($M$2:M29)+1,0)</f>
        <v>28</v>
      </c>
      <c r="N30" s="290" t="s">
        <v>816</v>
      </c>
      <c r="O30" s="291" t="s">
        <v>817</v>
      </c>
      <c r="Q30" s="292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0" t="s">
        <v>816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0" t="s">
        <v>816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0" t="s">
        <v>816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66"/>
      <c r="B31" s="266"/>
      <c r="C31" s="266"/>
      <c r="D31" s="282">
        <f>IF(ISNUMBER(SEARCH(ZAKL_DATA!$B$14,E31)),MAX($D$2:D30)+1,0)</f>
        <v>29</v>
      </c>
      <c r="E31" s="295" t="s">
        <v>818</v>
      </c>
      <c r="F31" s="296">
        <v>2117</v>
      </c>
      <c r="G31" s="297"/>
      <c r="H31" s="298" t="str">
        <f>IFERROR(VLOOKUP(ROWS($H$3:H31),$D$3:$E$204,2,0),"")</f>
        <v>NERATOVICE</v>
      </c>
      <c r="I31" s="266"/>
      <c r="J31" s="300" t="s">
        <v>819</v>
      </c>
      <c r="K31" s="288" t="s">
        <v>820</v>
      </c>
      <c r="M31" s="289">
        <f>IF(ISNUMBER(SEARCH(ZAKL_DATA!$B$29,N31)),MAX($M$2:M30)+1,0)</f>
        <v>29</v>
      </c>
      <c r="N31" s="290" t="s">
        <v>821</v>
      </c>
      <c r="O31" s="291" t="s">
        <v>822</v>
      </c>
      <c r="Q31" s="292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0" t="s">
        <v>821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0" t="s">
        <v>821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0" t="s">
        <v>821</v>
      </c>
      <c r="Z31" t="str">
        <f>IFERROR(VLOOKUP(ROWS($Z$3:Z31),$X$3:$Y$992,2,0),"")</f>
        <v>Výroba pryžových a plastových výrobků</v>
      </c>
    </row>
    <row r="32" spans="1:26" ht="12.75" customHeight="1">
      <c r="A32" s="266"/>
      <c r="B32" s="266"/>
      <c r="C32" s="266"/>
      <c r="D32" s="282">
        <f>IF(ISNUMBER(SEARCH(ZAKL_DATA!$B$14,E32)),MAX($D$2:D31)+1,0)</f>
        <v>30</v>
      </c>
      <c r="E32" s="295" t="s">
        <v>823</v>
      </c>
      <c r="F32" s="296">
        <v>2118</v>
      </c>
      <c r="G32" s="297"/>
      <c r="H32" s="298" t="str">
        <f>IFERROR(VLOOKUP(ROWS($H$3:H32),$D$3:$E$204,2,0),"")</f>
        <v>NYMBURK</v>
      </c>
      <c r="I32" s="266"/>
      <c r="J32" s="300" t="s">
        <v>824</v>
      </c>
      <c r="K32" s="288" t="s">
        <v>825</v>
      </c>
      <c r="M32" s="289">
        <f>IF(ISNUMBER(SEARCH(ZAKL_DATA!$B$29,N32)),MAX($M$2:M31)+1,0)</f>
        <v>30</v>
      </c>
      <c r="N32" s="290" t="s">
        <v>826</v>
      </c>
      <c r="O32" s="291" t="s">
        <v>827</v>
      </c>
      <c r="Q32" s="292" t="str">
        <f>IFERROR(VLOOKUP(ROWS($Q$3:Q32),$M$3:$N$992,2,0),"")</f>
        <v>Těžba dřeva</v>
      </c>
      <c r="R32">
        <f>IF(ISNUMBER(SEARCH('1Př1'!$A$32,N32)),MAX($M$2:M31)+1,0)</f>
        <v>30</v>
      </c>
      <c r="S32" s="290" t="s">
        <v>826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0" t="s">
        <v>826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0" t="s">
        <v>826</v>
      </c>
      <c r="Z32" t="str">
        <f>IFERROR(VLOOKUP(ROWS($Z$3:Z32),$X$3:$Y$992,2,0),"")</f>
        <v>Těžba dřeva</v>
      </c>
    </row>
    <row r="33" spans="1:26" ht="12.75" customHeight="1">
      <c r="A33" s="266"/>
      <c r="B33" s="266"/>
      <c r="C33" s="266"/>
      <c r="D33" s="282">
        <f>IF(ISNUMBER(SEARCH(ZAKL_DATA!$B$14,E33)),MAX($D$2:D32)+1,0)</f>
        <v>31</v>
      </c>
      <c r="E33" s="295" t="s">
        <v>828</v>
      </c>
      <c r="F33" s="296">
        <v>2119</v>
      </c>
      <c r="G33" s="297"/>
      <c r="H33" s="298" t="str">
        <f>IFERROR(VLOOKUP(ROWS($H$3:H33),$D$3:$E$204,2,0),"")</f>
        <v>PODĚBRADY</v>
      </c>
      <c r="I33" s="266"/>
      <c r="J33" s="300" t="s">
        <v>829</v>
      </c>
      <c r="K33" s="288" t="s">
        <v>830</v>
      </c>
      <c r="M33" s="289">
        <f>IF(ISNUMBER(SEARCH(ZAKL_DATA!$B$29,N33)),MAX($M$2:M32)+1,0)</f>
        <v>31</v>
      </c>
      <c r="N33" s="290" t="s">
        <v>831</v>
      </c>
      <c r="O33" s="291" t="s">
        <v>832</v>
      </c>
      <c r="Q33" s="292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0" t="s">
        <v>831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0" t="s">
        <v>831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0" t="s">
        <v>831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66"/>
      <c r="B34" s="266"/>
      <c r="C34" s="266"/>
      <c r="D34" s="282">
        <f>IF(ISNUMBER(SEARCH(ZAKL_DATA!$B$14,E34)),MAX($D$2:D33)+1,0)</f>
        <v>32</v>
      </c>
      <c r="E34" s="295" t="s">
        <v>833</v>
      </c>
      <c r="F34" s="296">
        <v>2120</v>
      </c>
      <c r="G34" s="297"/>
      <c r="H34" s="298" t="str">
        <f>IFERROR(VLOOKUP(ROWS($H$3:H34),$D$3:$E$204,2,0),"")</f>
        <v>PŘÍBRAM</v>
      </c>
      <c r="I34" s="266"/>
      <c r="J34" s="300" t="s">
        <v>834</v>
      </c>
      <c r="K34" s="288" t="s">
        <v>835</v>
      </c>
      <c r="M34" s="289">
        <f>IF(ISNUMBER(SEARCH(ZAKL_DATA!$B$29,N34)),MAX($M$2:M33)+1,0)</f>
        <v>32</v>
      </c>
      <c r="N34" s="290" t="s">
        <v>836</v>
      </c>
      <c r="O34" s="291" t="s">
        <v>837</v>
      </c>
      <c r="Q34" s="292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0" t="s">
        <v>836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0" t="s">
        <v>836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0" t="s">
        <v>836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66"/>
      <c r="B35" s="266"/>
      <c r="C35" s="266"/>
      <c r="D35" s="282">
        <f>IF(ISNUMBER(SEARCH(ZAKL_DATA!$B$14,E35)),MAX($D$2:D34)+1,0)</f>
        <v>33</v>
      </c>
      <c r="E35" s="295" t="s">
        <v>838</v>
      </c>
      <c r="F35" s="296">
        <v>2121</v>
      </c>
      <c r="G35" s="297"/>
      <c r="H35" s="298" t="str">
        <f>IFERROR(VLOOKUP(ROWS($H$3:H35),$D$3:$E$204,2,0),"")</f>
        <v>RAKOVNÍK</v>
      </c>
      <c r="I35" s="266"/>
      <c r="J35" s="300" t="s">
        <v>839</v>
      </c>
      <c r="K35" s="288" t="s">
        <v>840</v>
      </c>
      <c r="M35" s="289">
        <f>IF(ISNUMBER(SEARCH(ZAKL_DATA!$B$29,N35)),MAX($M$2:M34)+1,0)</f>
        <v>33</v>
      </c>
      <c r="N35" s="290" t="s">
        <v>841</v>
      </c>
      <c r="O35" s="291" t="s">
        <v>842</v>
      </c>
      <c r="Q35" s="292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0" t="s">
        <v>841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0" t="s">
        <v>841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0" t="s">
        <v>841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66"/>
      <c r="B36" s="266"/>
      <c r="C36" s="266"/>
      <c r="D36" s="282">
        <f>IF(ISNUMBER(SEARCH(ZAKL_DATA!$B$14,E36)),MAX($D$2:D35)+1,0)</f>
        <v>34</v>
      </c>
      <c r="E36" s="295" t="s">
        <v>843</v>
      </c>
      <c r="F36" s="296">
        <v>2122</v>
      </c>
      <c r="G36" s="297"/>
      <c r="H36" s="298" t="str">
        <f>IFERROR(VLOOKUP(ROWS($H$3:H36),$D$3:$E$204,2,0),"")</f>
        <v>ŘÍČANY</v>
      </c>
      <c r="I36" s="266"/>
      <c r="J36" s="300" t="s">
        <v>844</v>
      </c>
      <c r="K36" s="288" t="s">
        <v>845</v>
      </c>
      <c r="M36" s="289">
        <f>IF(ISNUMBER(SEARCH(ZAKL_DATA!$B$29,N36)),MAX($M$2:M35)+1,0)</f>
        <v>34</v>
      </c>
      <c r="N36" s="290" t="s">
        <v>846</v>
      </c>
      <c r="O36" s="291" t="s">
        <v>847</v>
      </c>
      <c r="Q36" s="292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0" t="s">
        <v>846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0" t="s">
        <v>846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0" t="s">
        <v>846</v>
      </c>
      <c r="Z36" t="str">
        <f>IFERROR(VLOOKUP(ROWS($Z$3:Z36),$X$3:$Y$992,2,0),"")</f>
        <v>Podpůrné činnosti pro lesnictví</v>
      </c>
    </row>
    <row r="37" spans="1:26" ht="12.75" customHeight="1">
      <c r="A37" s="266"/>
      <c r="B37" s="266"/>
      <c r="C37" s="266"/>
      <c r="D37" s="282">
        <f>IF(ISNUMBER(SEARCH(ZAKL_DATA!$B$14,E37)),MAX($D$2:D36)+1,0)</f>
        <v>35</v>
      </c>
      <c r="E37" s="295" t="s">
        <v>848</v>
      </c>
      <c r="F37" s="296">
        <v>2123</v>
      </c>
      <c r="G37" s="297"/>
      <c r="H37" s="298" t="str">
        <f>IFERROR(VLOOKUP(ROWS($H$3:H37),$D$3:$E$204,2,0),"")</f>
        <v>SEDLČANY</v>
      </c>
      <c r="I37" s="266"/>
      <c r="J37" s="300" t="s">
        <v>849</v>
      </c>
      <c r="K37" s="288" t="s">
        <v>850</v>
      </c>
      <c r="M37" s="289">
        <f>IF(ISNUMBER(SEARCH(ZAKL_DATA!$B$29,N37)),MAX($M$2:M36)+1,0)</f>
        <v>35</v>
      </c>
      <c r="N37" s="290" t="s">
        <v>851</v>
      </c>
      <c r="O37" s="291" t="s">
        <v>852</v>
      </c>
      <c r="Q37" s="292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0" t="s">
        <v>851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0" t="s">
        <v>851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0" t="s">
        <v>851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66"/>
      <c r="B38" s="266"/>
      <c r="C38" s="266"/>
      <c r="D38" s="282">
        <f>IF(ISNUMBER(SEARCH(ZAKL_DATA!$B$14,E38)),MAX($D$2:D37)+1,0)</f>
        <v>36</v>
      </c>
      <c r="E38" s="295" t="s">
        <v>853</v>
      </c>
      <c r="F38" s="296">
        <v>2124</v>
      </c>
      <c r="G38" s="297"/>
      <c r="H38" s="298" t="str">
        <f>IFERROR(VLOOKUP(ROWS($H$3:H38),$D$3:$E$204,2,0),"")</f>
        <v>SLANÝ</v>
      </c>
      <c r="I38" s="266"/>
      <c r="J38" s="300" t="s">
        <v>854</v>
      </c>
      <c r="K38" s="288" t="s">
        <v>855</v>
      </c>
      <c r="M38" s="289">
        <f>IF(ISNUMBER(SEARCH(ZAKL_DATA!$B$29,N38)),MAX($M$2:M37)+1,0)</f>
        <v>36</v>
      </c>
      <c r="N38" s="290" t="s">
        <v>856</v>
      </c>
      <c r="O38" s="291" t="s">
        <v>857</v>
      </c>
      <c r="Q38" s="292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0" t="s">
        <v>856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0" t="s">
        <v>856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0" t="s">
        <v>856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66"/>
      <c r="B39" s="266"/>
      <c r="C39" s="266"/>
      <c r="D39" s="282">
        <f>IF(ISNUMBER(SEARCH(ZAKL_DATA!$B$14,E39)),MAX($D$2:D38)+1,0)</f>
        <v>37</v>
      </c>
      <c r="E39" s="295" t="s">
        <v>858</v>
      </c>
      <c r="F39" s="296">
        <v>2125</v>
      </c>
      <c r="G39" s="297"/>
      <c r="H39" s="298" t="str">
        <f>IFERROR(VLOOKUP(ROWS($H$3:H39),$D$3:$E$204,2,0),"")</f>
        <v>VLAŠIM</v>
      </c>
      <c r="I39" s="266"/>
      <c r="J39" s="300" t="s">
        <v>859</v>
      </c>
      <c r="K39" s="288" t="s">
        <v>860</v>
      </c>
      <c r="M39" s="289">
        <f>IF(ISNUMBER(SEARCH(ZAKL_DATA!$B$29,N39)),MAX($M$2:M38)+1,0)</f>
        <v>37</v>
      </c>
      <c r="N39" s="290" t="s">
        <v>861</v>
      </c>
      <c r="O39" s="291" t="s">
        <v>862</v>
      </c>
      <c r="Q39" s="292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0" t="s">
        <v>861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0" t="s">
        <v>861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0" t="s">
        <v>861</v>
      </c>
      <c r="Z39" t="str">
        <f>IFERROR(VLOOKUP(ROWS($Z$3:Z39),$X$3:$Y$992,2,0),"")</f>
        <v>Výroba elektrických zařízení</v>
      </c>
    </row>
    <row r="40" spans="1:26" ht="12.75" customHeight="1">
      <c r="A40" s="266"/>
      <c r="B40" s="266"/>
      <c r="C40" s="266"/>
      <c r="D40" s="282">
        <f>IF(ISNUMBER(SEARCH(ZAKL_DATA!$B$14,E40)),MAX($D$2:D39)+1,0)</f>
        <v>38</v>
      </c>
      <c r="E40" s="295" t="s">
        <v>863</v>
      </c>
      <c r="F40" s="296">
        <v>2126</v>
      </c>
      <c r="G40" s="297"/>
      <c r="H40" s="298" t="str">
        <f>IFERROR(VLOOKUP(ROWS($H$3:H40),$D$3:$E$204,2,0),"")</f>
        <v>VOTICE</v>
      </c>
      <c r="I40" s="266"/>
      <c r="J40" s="300" t="s">
        <v>864</v>
      </c>
      <c r="K40" s="288" t="s">
        <v>865</v>
      </c>
      <c r="M40" s="289">
        <f>IF(ISNUMBER(SEARCH(ZAKL_DATA!$B$29,N40)),MAX($M$2:M39)+1,0)</f>
        <v>38</v>
      </c>
      <c r="N40" s="290" t="s">
        <v>866</v>
      </c>
      <c r="O40" s="291" t="s">
        <v>867</v>
      </c>
      <c r="Q40" s="292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0" t="s">
        <v>866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0" t="s">
        <v>866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0" t="s">
        <v>866</v>
      </c>
      <c r="Z40" t="str">
        <f>IFERROR(VLOOKUP(ROWS($Z$3:Z40),$X$3:$Y$992,2,0),"")</f>
        <v>Výroba strojů a zařízení j. n.</v>
      </c>
    </row>
    <row r="41" spans="1:26" ht="12.75" customHeight="1">
      <c r="A41" s="266"/>
      <c r="B41" s="266"/>
      <c r="C41" s="266"/>
      <c r="D41" s="282">
        <f>IF(ISNUMBER(SEARCH(ZAKL_DATA!$B$14,E41)),MAX($D$2:D40)+1,0)</f>
        <v>39</v>
      </c>
      <c r="E41" s="295" t="s">
        <v>868</v>
      </c>
      <c r="F41" s="296">
        <v>2201</v>
      </c>
      <c r="G41" s="297"/>
      <c r="H41" s="298" t="str">
        <f>IFERROR(VLOOKUP(ROWS($H$3:H41),$D$3:$E$204,2,0),"")</f>
        <v>ČESKÉ BUDĚJOVICE</v>
      </c>
      <c r="I41" s="266"/>
      <c r="J41" s="300" t="s">
        <v>869</v>
      </c>
      <c r="K41" s="288" t="s">
        <v>870</v>
      </c>
      <c r="M41" s="289">
        <f>IF(ISNUMBER(SEARCH(ZAKL_DATA!$B$29,N41)),MAX($M$2:M40)+1,0)</f>
        <v>39</v>
      </c>
      <c r="N41" s="290" t="s">
        <v>871</v>
      </c>
      <c r="O41" s="291" t="s">
        <v>872</v>
      </c>
      <c r="Q41" s="292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0" t="s">
        <v>871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0" t="s">
        <v>871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0" t="s">
        <v>871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66"/>
      <c r="B42" s="266"/>
      <c r="C42" s="266"/>
      <c r="D42" s="282">
        <f>IF(ISNUMBER(SEARCH(ZAKL_DATA!$B$14,E42)),MAX($D$2:D41)+1,0)</f>
        <v>40</v>
      </c>
      <c r="E42" s="295" t="s">
        <v>873</v>
      </c>
      <c r="F42" s="296">
        <v>2202</v>
      </c>
      <c r="G42" s="297"/>
      <c r="H42" s="298" t="str">
        <f>IFERROR(VLOOKUP(ROWS($H$3:H42),$D$3:$E$204,2,0),"")</f>
        <v>BLATNÁ</v>
      </c>
      <c r="I42" s="266"/>
      <c r="J42" s="300" t="s">
        <v>874</v>
      </c>
      <c r="K42" s="288" t="s">
        <v>875</v>
      </c>
      <c r="M42" s="289">
        <f>IF(ISNUMBER(SEARCH(ZAKL_DATA!$B$29,N42)),MAX($M$2:M41)+1,0)</f>
        <v>40</v>
      </c>
      <c r="N42" s="290" t="s">
        <v>876</v>
      </c>
      <c r="O42" s="291" t="s">
        <v>877</v>
      </c>
      <c r="Q42" s="292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0" t="s">
        <v>876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0" t="s">
        <v>876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0" t="s">
        <v>876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66"/>
      <c r="B43" s="266"/>
      <c r="C43" s="266"/>
      <c r="D43" s="282">
        <f>IF(ISNUMBER(SEARCH(ZAKL_DATA!$B$14,E43)),MAX($D$2:D42)+1,0)</f>
        <v>41</v>
      </c>
      <c r="E43" s="295" t="s">
        <v>878</v>
      </c>
      <c r="F43" s="296">
        <v>2203</v>
      </c>
      <c r="G43" s="297"/>
      <c r="H43" s="298" t="str">
        <f>IFERROR(VLOOKUP(ROWS($H$3:H43),$D$3:$E$204,2,0),"")</f>
        <v>ČESKÝ KRUMLOV</v>
      </c>
      <c r="I43" s="266"/>
      <c r="J43" s="300" t="s">
        <v>879</v>
      </c>
      <c r="K43" s="288" t="s">
        <v>880</v>
      </c>
      <c r="M43" s="289">
        <f>IF(ISNUMBER(SEARCH(ZAKL_DATA!$B$29,N43)),MAX($M$2:M42)+1,0)</f>
        <v>41</v>
      </c>
      <c r="N43" s="290" t="s">
        <v>881</v>
      </c>
      <c r="O43" s="291" t="s">
        <v>882</v>
      </c>
      <c r="Q43" s="292" t="str">
        <f>IFERROR(VLOOKUP(ROWS($Q$3:Q43),$M$3:$N$992,2,0),"")</f>
        <v>Výroba nábytku</v>
      </c>
      <c r="R43">
        <f>IF(ISNUMBER(SEARCH('1Př1'!$A$32,N43)),MAX($M$2:M42)+1,0)</f>
        <v>41</v>
      </c>
      <c r="S43" s="290" t="s">
        <v>881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0" t="s">
        <v>881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0" t="s">
        <v>881</v>
      </c>
      <c r="Z43" t="str">
        <f>IFERROR(VLOOKUP(ROWS($Z$3:Z43),$X$3:$Y$992,2,0),"")</f>
        <v>Výroba nábytku</v>
      </c>
    </row>
    <row r="44" spans="1:26" ht="12.75" customHeight="1">
      <c r="A44" s="266"/>
      <c r="B44" s="266"/>
      <c r="C44" s="266"/>
      <c r="D44" s="282">
        <f>IF(ISNUMBER(SEARCH(ZAKL_DATA!$B$14,E44)),MAX($D$2:D43)+1,0)</f>
        <v>42</v>
      </c>
      <c r="E44" s="295" t="s">
        <v>883</v>
      </c>
      <c r="F44" s="296">
        <v>2204</v>
      </c>
      <c r="G44" s="297"/>
      <c r="H44" s="298" t="str">
        <f>IFERROR(VLOOKUP(ROWS($H$3:H44),$D$3:$E$204,2,0),"")</f>
        <v>DAČICE</v>
      </c>
      <c r="I44" s="266"/>
      <c r="J44" s="300" t="s">
        <v>884</v>
      </c>
      <c r="K44" s="288" t="s">
        <v>885</v>
      </c>
      <c r="M44" s="289">
        <f>IF(ISNUMBER(SEARCH(ZAKL_DATA!$B$29,N44)),MAX($M$2:M43)+1,0)</f>
        <v>42</v>
      </c>
      <c r="N44" s="290" t="s">
        <v>886</v>
      </c>
      <c r="O44" s="291" t="s">
        <v>887</v>
      </c>
      <c r="Q44" s="292" t="str">
        <f>IFERROR(VLOOKUP(ROWS($Q$3:Q44),$M$3:$N$992,2,0),"")</f>
        <v>Rybolov</v>
      </c>
      <c r="R44">
        <f>IF(ISNUMBER(SEARCH('1Př1'!$A$32,N44)),MAX($M$2:M43)+1,0)</f>
        <v>42</v>
      </c>
      <c r="S44" s="290" t="s">
        <v>886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0" t="s">
        <v>886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0" t="s">
        <v>886</v>
      </c>
      <c r="Z44" t="str">
        <f>IFERROR(VLOOKUP(ROWS($Z$3:Z44),$X$3:$Y$992,2,0),"")</f>
        <v>Rybolov</v>
      </c>
    </row>
    <row r="45" spans="1:26" ht="12.75" customHeight="1">
      <c r="A45" s="266"/>
      <c r="B45" s="266"/>
      <c r="C45" s="266"/>
      <c r="D45" s="282">
        <f>IF(ISNUMBER(SEARCH(ZAKL_DATA!$B$14,E45)),MAX($D$2:D44)+1,0)</f>
        <v>43</v>
      </c>
      <c r="E45" s="295" t="s">
        <v>888</v>
      </c>
      <c r="F45" s="296">
        <v>2205</v>
      </c>
      <c r="G45" s="297"/>
      <c r="H45" s="298" t="str">
        <f>IFERROR(VLOOKUP(ROWS($H$3:H45),$D$3:$E$204,2,0),"")</f>
        <v>JINDŘICHŮV HRADEC</v>
      </c>
      <c r="I45" s="266"/>
      <c r="J45" s="299" t="s">
        <v>889</v>
      </c>
      <c r="K45" s="288" t="s">
        <v>890</v>
      </c>
      <c r="M45" s="289">
        <f>IF(ISNUMBER(SEARCH(ZAKL_DATA!$B$29,N45)),MAX($M$2:M44)+1,0)</f>
        <v>43</v>
      </c>
      <c r="N45" s="290" t="s">
        <v>891</v>
      </c>
      <c r="O45" s="291" t="s">
        <v>892</v>
      </c>
      <c r="Q45" s="292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0" t="s">
        <v>891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0" t="s">
        <v>891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0" t="s">
        <v>891</v>
      </c>
      <c r="Z45" t="str">
        <f>IFERROR(VLOOKUP(ROWS($Z$3:Z45),$X$3:$Y$992,2,0),"")</f>
        <v>Ostatní zpracovatelský průmysl</v>
      </c>
    </row>
    <row r="46" spans="1:26" ht="12.75" customHeight="1">
      <c r="A46" s="266"/>
      <c r="B46" s="266"/>
      <c r="C46" s="266"/>
      <c r="D46" s="282">
        <f>IF(ISNUMBER(SEARCH(ZAKL_DATA!$B$14,E46)),MAX($D$2:D45)+1,0)</f>
        <v>44</v>
      </c>
      <c r="E46" s="295" t="s">
        <v>893</v>
      </c>
      <c r="F46" s="296">
        <v>2206</v>
      </c>
      <c r="G46" s="297"/>
      <c r="H46" s="298" t="str">
        <f>IFERROR(VLOOKUP(ROWS($H$3:H46),$D$3:$E$204,2,0),"")</f>
        <v>KAPLICE</v>
      </c>
      <c r="I46" s="266"/>
      <c r="J46" s="300" t="s">
        <v>894</v>
      </c>
      <c r="K46" s="288" t="s">
        <v>148</v>
      </c>
      <c r="M46" s="289">
        <f>IF(ISNUMBER(SEARCH(ZAKL_DATA!$B$29,N46)),MAX($M$2:M45)+1,0)</f>
        <v>44</v>
      </c>
      <c r="N46" s="290" t="s">
        <v>895</v>
      </c>
      <c r="O46" s="291" t="s">
        <v>896</v>
      </c>
      <c r="Q46" s="292" t="str">
        <f>IFERROR(VLOOKUP(ROWS($Q$3:Q46),$M$3:$N$992,2,0),"")</f>
        <v>Akvakultura</v>
      </c>
      <c r="R46">
        <f>IF(ISNUMBER(SEARCH('1Př1'!$A$32,N46)),MAX($M$2:M45)+1,0)</f>
        <v>44</v>
      </c>
      <c r="S46" s="290" t="s">
        <v>895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0" t="s">
        <v>895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0" t="s">
        <v>895</v>
      </c>
      <c r="Z46" t="str">
        <f>IFERROR(VLOOKUP(ROWS($Z$3:Z46),$X$3:$Y$992,2,0),"")</f>
        <v>Akvakultura</v>
      </c>
    </row>
    <row r="47" spans="1:26" ht="12.75" customHeight="1">
      <c r="A47" s="266"/>
      <c r="B47" s="266"/>
      <c r="C47" s="266"/>
      <c r="D47" s="282">
        <f>IF(ISNUMBER(SEARCH(ZAKL_DATA!$B$14,E47)),MAX($D$2:D46)+1,0)</f>
        <v>45</v>
      </c>
      <c r="E47" s="295" t="s">
        <v>897</v>
      </c>
      <c r="F47" s="296">
        <v>2207</v>
      </c>
      <c r="G47" s="297"/>
      <c r="H47" s="298" t="str">
        <f>IFERROR(VLOOKUP(ROWS($H$3:H47),$D$3:$E$204,2,0),"")</f>
        <v>MILEVSKO</v>
      </c>
      <c r="I47" s="266"/>
      <c r="J47" s="300" t="s">
        <v>898</v>
      </c>
      <c r="K47" s="288" t="s">
        <v>899</v>
      </c>
      <c r="M47" s="289">
        <f>IF(ISNUMBER(SEARCH(ZAKL_DATA!$B$29,N47)),MAX($M$2:M46)+1,0)</f>
        <v>45</v>
      </c>
      <c r="N47" s="290" t="s">
        <v>900</v>
      </c>
      <c r="O47" s="291" t="s">
        <v>901</v>
      </c>
      <c r="Q47" s="292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0" t="s">
        <v>900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0" t="s">
        <v>900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0" t="s">
        <v>900</v>
      </c>
      <c r="Z47" t="str">
        <f>IFERROR(VLOOKUP(ROWS($Z$3:Z47),$X$3:$Y$992,2,0),"")</f>
        <v>Opravy a instalace strojů a zařízení</v>
      </c>
    </row>
    <row r="48" spans="1:26" ht="12.75" customHeight="1">
      <c r="A48" s="266"/>
      <c r="B48" s="266"/>
      <c r="C48" s="266"/>
      <c r="D48" s="282">
        <f>IF(ISNUMBER(SEARCH(ZAKL_DATA!$B$14,E48)),MAX($D$2:D47)+1,0)</f>
        <v>46</v>
      </c>
      <c r="E48" s="295" t="s">
        <v>902</v>
      </c>
      <c r="F48" s="296">
        <v>2208</v>
      </c>
      <c r="G48" s="297"/>
      <c r="H48" s="298" t="str">
        <f>IFERROR(VLOOKUP(ROWS($H$3:H48),$D$3:$E$204,2,0),"")</f>
        <v>PÍSEK</v>
      </c>
      <c r="I48" s="266"/>
      <c r="J48" s="300" t="s">
        <v>903</v>
      </c>
      <c r="K48" s="288" t="s">
        <v>904</v>
      </c>
      <c r="M48" s="289">
        <f>IF(ISNUMBER(SEARCH(ZAKL_DATA!$B$29,N48)),MAX($M$2:M47)+1,0)</f>
        <v>46</v>
      </c>
      <c r="N48" s="290" t="s">
        <v>905</v>
      </c>
      <c r="O48" s="291" t="s">
        <v>906</v>
      </c>
      <c r="Q48" s="292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0" t="s">
        <v>905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0" t="s">
        <v>905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0" t="s">
        <v>905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66"/>
      <c r="B49" s="266"/>
      <c r="C49" s="266"/>
      <c r="D49" s="282">
        <f>IF(ISNUMBER(SEARCH(ZAKL_DATA!$B$14,E49)),MAX($D$2:D48)+1,0)</f>
        <v>47</v>
      </c>
      <c r="E49" s="295" t="s">
        <v>907</v>
      </c>
      <c r="F49" s="296">
        <v>2209</v>
      </c>
      <c r="G49" s="297"/>
      <c r="H49" s="298" t="str">
        <f>IFERROR(VLOOKUP(ROWS($H$3:H49),$D$3:$E$204,2,0),"")</f>
        <v>PRACHATICE</v>
      </c>
      <c r="I49" s="266"/>
      <c r="J49" s="300" t="s">
        <v>908</v>
      </c>
      <c r="K49" s="288" t="s">
        <v>909</v>
      </c>
      <c r="M49" s="289">
        <f>IF(ISNUMBER(SEARCH(ZAKL_DATA!$B$29,N49)),MAX($M$2:M48)+1,0)</f>
        <v>47</v>
      </c>
      <c r="N49" s="290" t="s">
        <v>910</v>
      </c>
      <c r="O49" s="291" t="s">
        <v>911</v>
      </c>
      <c r="Q49" s="292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0" t="s">
        <v>910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0" t="s">
        <v>910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0" t="s">
        <v>910</v>
      </c>
      <c r="Z49" t="str">
        <f>IFERROR(VLOOKUP(ROWS($Z$3:Z49),$X$3:$Y$992,2,0),"")</f>
        <v>Shromažďování, úprava a rozvod vody</v>
      </c>
    </row>
    <row r="50" spans="1:26" ht="12.75" customHeight="1">
      <c r="A50" s="266"/>
      <c r="B50" s="266"/>
      <c r="C50" s="266"/>
      <c r="D50" s="282">
        <f>IF(ISNUMBER(SEARCH(ZAKL_DATA!$B$14,E50)),MAX($D$2:D49)+1,0)</f>
        <v>48</v>
      </c>
      <c r="E50" s="295" t="s">
        <v>912</v>
      </c>
      <c r="F50" s="296">
        <v>2210</v>
      </c>
      <c r="G50" s="297"/>
      <c r="H50" s="298" t="str">
        <f>IFERROR(VLOOKUP(ROWS($H$3:H50),$D$3:$E$204,2,0),"")</f>
        <v>SOBĚSLAV</v>
      </c>
      <c r="I50" s="266"/>
      <c r="J50" s="300" t="s">
        <v>913</v>
      </c>
      <c r="K50" s="288" t="s">
        <v>914</v>
      </c>
      <c r="M50" s="289">
        <f>IF(ISNUMBER(SEARCH(ZAKL_DATA!$B$29,N50)),MAX($M$2:M49)+1,0)</f>
        <v>48</v>
      </c>
      <c r="N50" s="290" t="s">
        <v>915</v>
      </c>
      <c r="O50" s="291" t="s">
        <v>916</v>
      </c>
      <c r="Q50" s="292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0" t="s">
        <v>915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0" t="s">
        <v>915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0" t="s">
        <v>915</v>
      </c>
      <c r="Z50" t="str">
        <f>IFERROR(VLOOKUP(ROWS($Z$3:Z50),$X$3:$Y$992,2,0),"")</f>
        <v>Činnosti související s odpadními vodami</v>
      </c>
    </row>
    <row r="51" spans="1:26" ht="12.75" customHeight="1">
      <c r="A51" s="266"/>
      <c r="B51" s="266"/>
      <c r="C51" s="266"/>
      <c r="D51" s="282">
        <f>IF(ISNUMBER(SEARCH(ZAKL_DATA!$B$14,E51)),MAX($D$2:D50)+1,0)</f>
        <v>49</v>
      </c>
      <c r="E51" s="295" t="s">
        <v>917</v>
      </c>
      <c r="F51" s="296">
        <v>2211</v>
      </c>
      <c r="G51" s="297"/>
      <c r="H51" s="298" t="str">
        <f>IFERROR(VLOOKUP(ROWS($H$3:H51),$D$3:$E$204,2,0),"")</f>
        <v>STRAKONICE</v>
      </c>
      <c r="I51" s="266"/>
      <c r="J51" s="300" t="s">
        <v>918</v>
      </c>
      <c r="K51" s="288" t="s">
        <v>919</v>
      </c>
      <c r="M51" s="289">
        <f>IF(ISNUMBER(SEARCH(ZAKL_DATA!$B$29,N51)),MAX($M$2:M50)+1,0)</f>
        <v>49</v>
      </c>
      <c r="N51" s="290" t="s">
        <v>920</v>
      </c>
      <c r="O51" s="291" t="s">
        <v>921</v>
      </c>
      <c r="Q51" s="292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0" t="s">
        <v>920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0" t="s">
        <v>920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0" t="s">
        <v>920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66"/>
      <c r="B52" s="266"/>
      <c r="C52" s="266"/>
      <c r="D52" s="282">
        <f>IF(ISNUMBER(SEARCH(ZAKL_DATA!$B$14,E52)),MAX($D$2:D51)+1,0)</f>
        <v>50</v>
      </c>
      <c r="E52" s="295" t="s">
        <v>922</v>
      </c>
      <c r="F52" s="296">
        <v>2212</v>
      </c>
      <c r="G52" s="297"/>
      <c r="H52" s="298" t="str">
        <f>IFERROR(VLOOKUP(ROWS($H$3:H52),$D$3:$E$204,2,0),"")</f>
        <v>TÁBOR</v>
      </c>
      <c r="I52" s="266"/>
      <c r="J52" s="300" t="s">
        <v>923</v>
      </c>
      <c r="K52" s="288" t="s">
        <v>924</v>
      </c>
      <c r="M52" s="289">
        <f>IF(ISNUMBER(SEARCH(ZAKL_DATA!$B$29,N52)),MAX($M$2:M51)+1,0)</f>
        <v>50</v>
      </c>
      <c r="N52" s="290" t="s">
        <v>925</v>
      </c>
      <c r="O52" s="291" t="s">
        <v>926</v>
      </c>
      <c r="Q52" s="292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0" t="s">
        <v>925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0" t="s">
        <v>925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0" t="s">
        <v>925</v>
      </c>
      <c r="Z52" t="str">
        <f>IFERROR(VLOOKUP(ROWS($Z$3:Z52),$X$3:$Y$992,2,0),"")</f>
        <v>Sanace a jiné činnosti související s odpady</v>
      </c>
    </row>
    <row r="53" spans="1:26" ht="12.75" customHeight="1">
      <c r="A53" s="266"/>
      <c r="B53" s="266"/>
      <c r="C53" s="266"/>
      <c r="D53" s="282">
        <f>IF(ISNUMBER(SEARCH(ZAKL_DATA!$B$14,E53)),MAX($D$2:D52)+1,0)</f>
        <v>51</v>
      </c>
      <c r="E53" s="295" t="s">
        <v>927</v>
      </c>
      <c r="F53" s="296">
        <v>2213</v>
      </c>
      <c r="G53" s="297"/>
      <c r="H53" s="298" t="str">
        <f>IFERROR(VLOOKUP(ROWS($H$3:H53),$D$3:$E$204,2,0),"")</f>
        <v>TRHOVÉ SVINY</v>
      </c>
      <c r="I53" s="266"/>
      <c r="J53" s="300" t="s">
        <v>928</v>
      </c>
      <c r="K53" s="288" t="s">
        <v>929</v>
      </c>
      <c r="M53" s="289">
        <f>IF(ISNUMBER(SEARCH(ZAKL_DATA!$B$29,N53)),MAX($M$2:M52)+1,0)</f>
        <v>51</v>
      </c>
      <c r="N53" s="290" t="s">
        <v>930</v>
      </c>
      <c r="O53" s="291" t="s">
        <v>931</v>
      </c>
      <c r="Q53" s="292" t="str">
        <f>IFERROR(VLOOKUP(ROWS($Q$3:Q53),$M$3:$N$992,2,0),"")</f>
        <v>Výstavba budov</v>
      </c>
      <c r="R53">
        <f>IF(ISNUMBER(SEARCH('1Př1'!$A$32,N53)),MAX($M$2:M52)+1,0)</f>
        <v>51</v>
      </c>
      <c r="S53" s="290" t="s">
        <v>930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0" t="s">
        <v>930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0" t="s">
        <v>930</v>
      </c>
      <c r="Z53" t="str">
        <f>IFERROR(VLOOKUP(ROWS($Z$3:Z53),$X$3:$Y$992,2,0),"")</f>
        <v>Výstavba budov</v>
      </c>
    </row>
    <row r="54" spans="1:26" ht="12.75" customHeight="1">
      <c r="A54" s="266"/>
      <c r="B54" s="266"/>
      <c r="C54" s="266"/>
      <c r="D54" s="282">
        <f>IF(ISNUMBER(SEARCH(ZAKL_DATA!$B$14,E54)),MAX($D$2:D53)+1,0)</f>
        <v>52</v>
      </c>
      <c r="E54" s="295" t="s">
        <v>932</v>
      </c>
      <c r="F54" s="296">
        <v>2214</v>
      </c>
      <c r="G54" s="297"/>
      <c r="H54" s="298" t="str">
        <f>IFERROR(VLOOKUP(ROWS($H$3:H54),$D$3:$E$204,2,0),"")</f>
        <v>TŘEBOŇ</v>
      </c>
      <c r="I54" s="266"/>
      <c r="J54" s="300" t="s">
        <v>933</v>
      </c>
      <c r="K54" s="288" t="s">
        <v>934</v>
      </c>
      <c r="M54" s="289">
        <f>IF(ISNUMBER(SEARCH(ZAKL_DATA!$B$29,N54)),MAX($M$2:M53)+1,0)</f>
        <v>52</v>
      </c>
      <c r="N54" s="290" t="s">
        <v>935</v>
      </c>
      <c r="O54" s="291" t="s">
        <v>936</v>
      </c>
      <c r="Q54" s="292" t="str">
        <f>IFERROR(VLOOKUP(ROWS($Q$3:Q54),$M$3:$N$992,2,0),"")</f>
        <v>Inženýrské stavitelství</v>
      </c>
      <c r="R54">
        <f>IF(ISNUMBER(SEARCH('1Př1'!$A$32,N54)),MAX($M$2:M53)+1,0)</f>
        <v>52</v>
      </c>
      <c r="S54" s="290" t="s">
        <v>935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0" t="s">
        <v>935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0" t="s">
        <v>935</v>
      </c>
      <c r="Z54" t="str">
        <f>IFERROR(VLOOKUP(ROWS($Z$3:Z54),$X$3:$Y$992,2,0),"")</f>
        <v>Inženýrské stavitelství</v>
      </c>
    </row>
    <row r="55" spans="1:26" ht="12.75" customHeight="1">
      <c r="A55" s="266"/>
      <c r="B55" s="266"/>
      <c r="C55" s="266"/>
      <c r="D55" s="282">
        <f>IF(ISNUMBER(SEARCH(ZAKL_DATA!$B$14,E55)),MAX($D$2:D54)+1,0)</f>
        <v>53</v>
      </c>
      <c r="E55" s="295" t="s">
        <v>937</v>
      </c>
      <c r="F55" s="296">
        <v>2215</v>
      </c>
      <c r="G55" s="297"/>
      <c r="H55" s="298" t="str">
        <f>IFERROR(VLOOKUP(ROWS($H$3:H55),$D$3:$E$204,2,0),"")</f>
        <v>TÝN NAD VLTAVOU</v>
      </c>
      <c r="I55" s="266"/>
      <c r="J55" s="300" t="s">
        <v>938</v>
      </c>
      <c r="K55" s="288" t="s">
        <v>939</v>
      </c>
      <c r="M55" s="289">
        <f>IF(ISNUMBER(SEARCH(ZAKL_DATA!$B$29,N55)),MAX($M$2:M54)+1,0)</f>
        <v>53</v>
      </c>
      <c r="N55" s="290" t="s">
        <v>940</v>
      </c>
      <c r="O55" s="291" t="s">
        <v>941</v>
      </c>
      <c r="Q55" s="292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0" t="s">
        <v>940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0" t="s">
        <v>940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0" t="s">
        <v>940</v>
      </c>
      <c r="Z55" t="str">
        <f>IFERROR(VLOOKUP(ROWS($Z$3:Z55),$X$3:$Y$992,2,0),"")</f>
        <v>Specializované stavební činnosti</v>
      </c>
    </row>
    <row r="56" spans="1:26" ht="12.75" customHeight="1">
      <c r="A56" s="266"/>
      <c r="B56" s="266"/>
      <c r="C56" s="266"/>
      <c r="D56" s="282">
        <f>IF(ISNUMBER(SEARCH(ZAKL_DATA!$B$14,E56)),MAX($D$2:D55)+1,0)</f>
        <v>54</v>
      </c>
      <c r="E56" s="295" t="s">
        <v>942</v>
      </c>
      <c r="F56" s="296">
        <v>2216</v>
      </c>
      <c r="G56" s="297"/>
      <c r="H56" s="298" t="str">
        <f>IFERROR(VLOOKUP(ROWS($H$3:H56),$D$3:$E$204,2,0),"")</f>
        <v>VIMPERK</v>
      </c>
      <c r="I56" s="266"/>
      <c r="J56" s="300" t="s">
        <v>943</v>
      </c>
      <c r="K56" s="288" t="s">
        <v>944</v>
      </c>
      <c r="M56" s="289">
        <f>IF(ISNUMBER(SEARCH(ZAKL_DATA!$B$29,N56)),MAX($M$2:M55)+1,0)</f>
        <v>54</v>
      </c>
      <c r="N56" s="290" t="s">
        <v>945</v>
      </c>
      <c r="O56" s="291" t="s">
        <v>946</v>
      </c>
      <c r="Q56" s="292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0" t="s">
        <v>945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0" t="s">
        <v>945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0" t="s">
        <v>945</v>
      </c>
      <c r="Z56" t="str">
        <f>IFERROR(VLOOKUP(ROWS($Z$3:Z56),$X$3:$Y$992,2,0),"")</f>
        <v>Velkoobchod, maloobchod a opravy motorových vozidel</v>
      </c>
    </row>
    <row r="57" spans="1:26" ht="12.75" customHeight="1">
      <c r="A57" s="266"/>
      <c r="B57" s="266"/>
      <c r="C57" s="266"/>
      <c r="D57" s="282">
        <f>IF(ISNUMBER(SEARCH(ZAKL_DATA!$B$14,E57)),MAX($D$2:D56)+1,0)</f>
        <v>55</v>
      </c>
      <c r="E57" s="295" t="s">
        <v>947</v>
      </c>
      <c r="F57" s="296">
        <v>2217</v>
      </c>
      <c r="G57" s="297"/>
      <c r="H57" s="298" t="str">
        <f>IFERROR(VLOOKUP(ROWS($H$3:H57),$D$3:$E$204,2,0),"")</f>
        <v>VODŇANY</v>
      </c>
      <c r="I57" s="266"/>
      <c r="J57" s="300" t="s">
        <v>948</v>
      </c>
      <c r="K57" s="288" t="s">
        <v>949</v>
      </c>
      <c r="M57" s="289">
        <f>IF(ISNUMBER(SEARCH(ZAKL_DATA!$B$29,N57)),MAX($M$2:M56)+1,0)</f>
        <v>55</v>
      </c>
      <c r="N57" s="290" t="s">
        <v>950</v>
      </c>
      <c r="O57" s="291" t="s">
        <v>951</v>
      </c>
      <c r="Q57" s="292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0" t="s">
        <v>950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0" t="s">
        <v>950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0" t="s">
        <v>950</v>
      </c>
      <c r="Z57" t="str">
        <f>IFERROR(VLOOKUP(ROWS($Z$3:Z57),$X$3:$Y$992,2,0),"")</f>
        <v>Velkoobchod, kromě motorových vozidel</v>
      </c>
    </row>
    <row r="58" spans="1:26" ht="12.75" customHeight="1">
      <c r="A58" s="266"/>
      <c r="B58" s="266"/>
      <c r="C58" s="266"/>
      <c r="D58" s="282">
        <f>IF(ISNUMBER(SEARCH(ZAKL_DATA!$B$14,E58)),MAX($D$2:D57)+1,0)</f>
        <v>56</v>
      </c>
      <c r="E58" s="295" t="s">
        <v>952</v>
      </c>
      <c r="F58" s="296">
        <v>2301</v>
      </c>
      <c r="G58" s="297"/>
      <c r="H58" s="298" t="str">
        <f>IFERROR(VLOOKUP(ROWS($H$3:H58),$D$3:$E$204,2,0),"")</f>
        <v>PLZEŇ</v>
      </c>
      <c r="I58" s="266"/>
      <c r="J58" s="300" t="s">
        <v>953</v>
      </c>
      <c r="K58" s="288" t="s">
        <v>954</v>
      </c>
      <c r="M58" s="289">
        <f>IF(ISNUMBER(SEARCH(ZAKL_DATA!$B$29,N58)),MAX($M$2:M57)+1,0)</f>
        <v>56</v>
      </c>
      <c r="N58" s="290" t="s">
        <v>955</v>
      </c>
      <c r="O58" s="291" t="s">
        <v>956</v>
      </c>
      <c r="Q58" s="292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0" t="s">
        <v>955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0" t="s">
        <v>955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0" t="s">
        <v>955</v>
      </c>
      <c r="Z58" t="str">
        <f>IFERROR(VLOOKUP(ROWS($Z$3:Z58),$X$3:$Y$992,2,0),"")</f>
        <v>Maloobchod, kromě motorových vozidel</v>
      </c>
    </row>
    <row r="59" spans="1:26" ht="12.75" customHeight="1">
      <c r="A59" s="266"/>
      <c r="B59" s="266"/>
      <c r="C59" s="266"/>
      <c r="D59" s="282">
        <f>IF(ISNUMBER(SEARCH(ZAKL_DATA!$B$14,E59)),MAX($D$2:D58)+1,0)</f>
        <v>57</v>
      </c>
      <c r="E59" s="295" t="s">
        <v>957</v>
      </c>
      <c r="F59" s="296">
        <v>2302</v>
      </c>
      <c r="G59" s="297"/>
      <c r="H59" s="298" t="str">
        <f>IFERROR(VLOOKUP(ROWS($H$3:H59),$D$3:$E$204,2,0),"")</f>
        <v>PLZEŇ-SEVER</v>
      </c>
      <c r="I59" s="266"/>
      <c r="J59" s="299" t="s">
        <v>958</v>
      </c>
      <c r="K59" s="288" t="s">
        <v>959</v>
      </c>
      <c r="M59" s="289">
        <f>IF(ISNUMBER(SEARCH(ZAKL_DATA!$B$29,N59)),MAX($M$2:M58)+1,0)</f>
        <v>57</v>
      </c>
      <c r="N59" s="290" t="s">
        <v>960</v>
      </c>
      <c r="O59" s="291" t="s">
        <v>961</v>
      </c>
      <c r="Q59" s="292" t="str">
        <f>IFERROR(VLOOKUP(ROWS($Q$3:Q59),$M$3:$N$992,2,0),"")</f>
        <v>Pozemní a potrubní doprava</v>
      </c>
      <c r="R59">
        <f>IF(ISNUMBER(SEARCH('1Př1'!$A$32,N59)),MAX($M$2:M58)+1,0)</f>
        <v>57</v>
      </c>
      <c r="S59" s="290" t="s">
        <v>960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0" t="s">
        <v>960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0" t="s">
        <v>960</v>
      </c>
      <c r="Z59" t="str">
        <f>IFERROR(VLOOKUP(ROWS($Z$3:Z59),$X$3:$Y$992,2,0),"")</f>
        <v>Pozemní a potrubní doprava</v>
      </c>
    </row>
    <row r="60" spans="1:26" ht="12.75" customHeight="1">
      <c r="A60" s="266"/>
      <c r="B60" s="266"/>
      <c r="C60" s="266"/>
      <c r="D60" s="282">
        <f>IF(ISNUMBER(SEARCH(ZAKL_DATA!$B$14,E60)),MAX($D$2:D59)+1,0)</f>
        <v>58</v>
      </c>
      <c r="E60" s="295" t="s">
        <v>962</v>
      </c>
      <c r="F60" s="296">
        <v>2303</v>
      </c>
      <c r="G60" s="297"/>
      <c r="H60" s="298" t="str">
        <f>IFERROR(VLOOKUP(ROWS($H$3:H60),$D$3:$E$204,2,0),"")</f>
        <v>PLZEŇ-JIH</v>
      </c>
      <c r="I60" s="266"/>
      <c r="J60" s="300" t="s">
        <v>963</v>
      </c>
      <c r="K60" s="288" t="s">
        <v>964</v>
      </c>
      <c r="M60" s="289">
        <f>IF(ISNUMBER(SEARCH(ZAKL_DATA!$B$29,N60)),MAX($M$2:M59)+1,0)</f>
        <v>58</v>
      </c>
      <c r="N60" s="290" t="s">
        <v>965</v>
      </c>
      <c r="O60" s="291" t="s">
        <v>966</v>
      </c>
      <c r="Q60" s="292" t="str">
        <f>IFERROR(VLOOKUP(ROWS($Q$3:Q60),$M$3:$N$992,2,0),"")</f>
        <v>Vodní doprava</v>
      </c>
      <c r="R60">
        <f>IF(ISNUMBER(SEARCH('1Př1'!$A$32,N60)),MAX($M$2:M59)+1,0)</f>
        <v>58</v>
      </c>
      <c r="S60" s="290" t="s">
        <v>965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0" t="s">
        <v>965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0" t="s">
        <v>965</v>
      </c>
      <c r="Z60" t="str">
        <f>IFERROR(VLOOKUP(ROWS($Z$3:Z60),$X$3:$Y$992,2,0),"")</f>
        <v>Vodní doprava</v>
      </c>
    </row>
    <row r="61" spans="1:26" ht="12.75" customHeight="1">
      <c r="A61" s="266"/>
      <c r="B61" s="266"/>
      <c r="C61" s="266"/>
      <c r="D61" s="282">
        <f>IF(ISNUMBER(SEARCH(ZAKL_DATA!$B$14,E61)),MAX($D$2:D60)+1,0)</f>
        <v>59</v>
      </c>
      <c r="E61" s="295" t="s">
        <v>967</v>
      </c>
      <c r="F61" s="296">
        <v>2304</v>
      </c>
      <c r="G61" s="297"/>
      <c r="H61" s="298" t="str">
        <f>IFERROR(VLOOKUP(ROWS($H$3:H61),$D$3:$E$204,2,0),"")</f>
        <v>BLOVICE</v>
      </c>
      <c r="I61" s="266"/>
      <c r="J61" s="300" t="s">
        <v>968</v>
      </c>
      <c r="K61" s="288" t="s">
        <v>969</v>
      </c>
      <c r="M61" s="289">
        <f>IF(ISNUMBER(SEARCH(ZAKL_DATA!$B$29,N61)),MAX($M$2:M60)+1,0)</f>
        <v>59</v>
      </c>
      <c r="N61" s="290" t="s">
        <v>970</v>
      </c>
      <c r="O61" s="291" t="s">
        <v>971</v>
      </c>
      <c r="Q61" s="292" t="str">
        <f>IFERROR(VLOOKUP(ROWS($Q$3:Q61),$M$3:$N$992,2,0),"")</f>
        <v>Letecká doprava</v>
      </c>
      <c r="R61">
        <f>IF(ISNUMBER(SEARCH('1Př1'!$A$32,N61)),MAX($M$2:M60)+1,0)</f>
        <v>59</v>
      </c>
      <c r="S61" s="290" t="s">
        <v>970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0" t="s">
        <v>970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0" t="s">
        <v>970</v>
      </c>
      <c r="Z61" t="str">
        <f>IFERROR(VLOOKUP(ROWS($Z$3:Z61),$X$3:$Y$992,2,0),"")</f>
        <v>Letecká doprava</v>
      </c>
    </row>
    <row r="62" spans="1:26" ht="12.75" customHeight="1">
      <c r="A62" s="266"/>
      <c r="B62" s="266"/>
      <c r="C62" s="266"/>
      <c r="D62" s="282">
        <f>IF(ISNUMBER(SEARCH(ZAKL_DATA!$B$14,E62)),MAX($D$2:D61)+1,0)</f>
        <v>60</v>
      </c>
      <c r="E62" s="295" t="s">
        <v>972</v>
      </c>
      <c r="F62" s="296">
        <v>2305</v>
      </c>
      <c r="G62" s="297"/>
      <c r="H62" s="298" t="str">
        <f>IFERROR(VLOOKUP(ROWS($H$3:H62),$D$3:$E$204,2,0),"")</f>
        <v>DOMAŽLICE</v>
      </c>
      <c r="I62" s="266"/>
      <c r="J62" s="300" t="s">
        <v>973</v>
      </c>
      <c r="K62" s="288" t="s">
        <v>974</v>
      </c>
      <c r="M62" s="289">
        <f>IF(ISNUMBER(SEARCH(ZAKL_DATA!$B$29,N62)),MAX($M$2:M61)+1,0)</f>
        <v>60</v>
      </c>
      <c r="N62" s="290" t="s">
        <v>975</v>
      </c>
      <c r="O62" s="291" t="s">
        <v>976</v>
      </c>
      <c r="Q62" s="292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0" t="s">
        <v>975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0" t="s">
        <v>975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0" t="s">
        <v>975</v>
      </c>
      <c r="Z62" t="str">
        <f>IFERROR(VLOOKUP(ROWS($Z$3:Z62),$X$3:$Y$992,2,0),"")</f>
        <v>Těžba a úprava černého uhlí</v>
      </c>
    </row>
    <row r="63" spans="1:26" ht="12.75" customHeight="1">
      <c r="A63" s="266"/>
      <c r="B63" s="266"/>
      <c r="C63" s="266"/>
      <c r="D63" s="282">
        <f>IF(ISNUMBER(SEARCH(ZAKL_DATA!$B$14,E63)),MAX($D$2:D62)+1,0)</f>
        <v>61</v>
      </c>
      <c r="E63" s="295" t="s">
        <v>977</v>
      </c>
      <c r="F63" s="296">
        <v>2306</v>
      </c>
      <c r="G63" s="297"/>
      <c r="H63" s="298" t="str">
        <f>IFERROR(VLOOKUP(ROWS($H$3:H63),$D$3:$E$204,2,0),"")</f>
        <v>HORAŽĎOVICE</v>
      </c>
      <c r="I63" s="266"/>
      <c r="J63" s="300" t="s">
        <v>978</v>
      </c>
      <c r="K63" s="288" t="s">
        <v>979</v>
      </c>
      <c r="M63" s="289">
        <f>IF(ISNUMBER(SEARCH(ZAKL_DATA!$B$29,N63)),MAX($M$2:M62)+1,0)</f>
        <v>61</v>
      </c>
      <c r="N63" s="290" t="s">
        <v>980</v>
      </c>
      <c r="O63" s="291" t="s">
        <v>981</v>
      </c>
      <c r="Q63" s="292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0" t="s">
        <v>980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0" t="s">
        <v>980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0" t="s">
        <v>980</v>
      </c>
      <c r="Z63" t="str">
        <f>IFERROR(VLOOKUP(ROWS($Z$3:Z63),$X$3:$Y$992,2,0),"")</f>
        <v>Skladování a vedlejší činnosti v dopravě</v>
      </c>
    </row>
    <row r="64" spans="1:26" ht="12.75" customHeight="1">
      <c r="A64" s="266"/>
      <c r="B64" s="266"/>
      <c r="C64" s="266"/>
      <c r="D64" s="282">
        <f>IF(ISNUMBER(SEARCH(ZAKL_DATA!$B$14,E64)),MAX($D$2:D63)+1,0)</f>
        <v>62</v>
      </c>
      <c r="E64" s="295" t="s">
        <v>982</v>
      </c>
      <c r="F64" s="296">
        <v>2307</v>
      </c>
      <c r="G64" s="297"/>
      <c r="H64" s="298" t="str">
        <f>IFERROR(VLOOKUP(ROWS($H$3:H64),$D$3:$E$204,2,0),"")</f>
        <v>HORŠOVSKÝ TÝN</v>
      </c>
      <c r="I64" s="266"/>
      <c r="J64" s="300" t="s">
        <v>983</v>
      </c>
      <c r="K64" s="288" t="s">
        <v>984</v>
      </c>
      <c r="M64" s="289">
        <f>IF(ISNUMBER(SEARCH(ZAKL_DATA!$B$29,N64)),MAX($M$2:M63)+1,0)</f>
        <v>62</v>
      </c>
      <c r="N64" s="290" t="s">
        <v>985</v>
      </c>
      <c r="O64" s="291" t="s">
        <v>986</v>
      </c>
      <c r="Q64" s="292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0" t="s">
        <v>985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0" t="s">
        <v>985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0" t="s">
        <v>985</v>
      </c>
      <c r="Z64" t="str">
        <f>IFERROR(VLOOKUP(ROWS($Z$3:Z64),$X$3:$Y$992,2,0),"")</f>
        <v>Těžba a úprava hnědého uhlí</v>
      </c>
    </row>
    <row r="65" spans="1:26" ht="12.75" customHeight="1">
      <c r="A65" s="266"/>
      <c r="B65" s="266"/>
      <c r="C65" s="266"/>
      <c r="D65" s="282">
        <f>IF(ISNUMBER(SEARCH(ZAKL_DATA!$B$14,E65)),MAX($D$2:D64)+1,0)</f>
        <v>63</v>
      </c>
      <c r="E65" s="295" t="s">
        <v>987</v>
      </c>
      <c r="F65" s="296">
        <v>2308</v>
      </c>
      <c r="G65" s="297"/>
      <c r="H65" s="298" t="str">
        <f>IFERROR(VLOOKUP(ROWS($H$3:H65),$D$3:$E$204,2,0),"")</f>
        <v>KLATOVY</v>
      </c>
      <c r="I65" s="266"/>
      <c r="J65" s="300" t="s">
        <v>988</v>
      </c>
      <c r="K65" s="288" t="s">
        <v>661</v>
      </c>
      <c r="M65" s="289">
        <f>IF(ISNUMBER(SEARCH(ZAKL_DATA!$B$29,N65)),MAX($M$2:M64)+1,0)</f>
        <v>63</v>
      </c>
      <c r="N65" s="290" t="s">
        <v>989</v>
      </c>
      <c r="O65" s="291" t="s">
        <v>990</v>
      </c>
      <c r="Q65" s="292" t="str">
        <f>IFERROR(VLOOKUP(ROWS($Q$3:Q65),$M$3:$N$992,2,0),"")</f>
        <v>Poštovní a kurýrní činnosti</v>
      </c>
      <c r="R65">
        <f>IF(ISNUMBER(SEARCH('1Př1'!$A$32,N65)),MAX($M$2:M64)+1,0)</f>
        <v>63</v>
      </c>
      <c r="S65" s="290" t="s">
        <v>989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0" t="s">
        <v>989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0" t="s">
        <v>989</v>
      </c>
      <c r="Z65" t="str">
        <f>IFERROR(VLOOKUP(ROWS($Z$3:Z65),$X$3:$Y$992,2,0),"")</f>
        <v>Poštovní a kurýrní činnosti</v>
      </c>
    </row>
    <row r="66" spans="1:26" ht="12.75" customHeight="1">
      <c r="A66" s="266"/>
      <c r="B66" s="266"/>
      <c r="C66" s="266"/>
      <c r="D66" s="282">
        <f>IF(ISNUMBER(SEARCH(ZAKL_DATA!$B$14,E66)),MAX($D$2:D65)+1,0)</f>
        <v>64</v>
      </c>
      <c r="E66" s="295" t="s">
        <v>991</v>
      </c>
      <c r="F66" s="296">
        <v>2309</v>
      </c>
      <c r="G66" s="297"/>
      <c r="H66" s="298" t="str">
        <f>IFERROR(VLOOKUP(ROWS($H$3:H66),$D$3:$E$204,2,0),"")</f>
        <v>KRALOVICE</v>
      </c>
      <c r="I66" s="266"/>
      <c r="J66" s="300" t="s">
        <v>992</v>
      </c>
      <c r="K66" s="288" t="s">
        <v>993</v>
      </c>
      <c r="M66" s="289">
        <f>IF(ISNUMBER(SEARCH(ZAKL_DATA!$B$29,N66)),MAX($M$2:M65)+1,0)</f>
        <v>64</v>
      </c>
      <c r="N66" s="290" t="s">
        <v>994</v>
      </c>
      <c r="O66" s="291" t="s">
        <v>995</v>
      </c>
      <c r="Q66" s="292" t="str">
        <f>IFERROR(VLOOKUP(ROWS($Q$3:Q66),$M$3:$N$992,2,0),"")</f>
        <v>Ubytování</v>
      </c>
      <c r="R66">
        <f>IF(ISNUMBER(SEARCH('1Př1'!$A$32,N66)),MAX($M$2:M65)+1,0)</f>
        <v>64</v>
      </c>
      <c r="S66" s="290" t="s">
        <v>994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0" t="s">
        <v>994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0" t="s">
        <v>994</v>
      </c>
      <c r="Z66" t="str">
        <f>IFERROR(VLOOKUP(ROWS($Z$3:Z66),$X$3:$Y$992,2,0),"")</f>
        <v>Ubytování</v>
      </c>
    </row>
    <row r="67" spans="1:26" ht="12.75" customHeight="1">
      <c r="A67" s="266"/>
      <c r="B67" s="266"/>
      <c r="C67" s="266"/>
      <c r="D67" s="282">
        <f>IF(ISNUMBER(SEARCH(ZAKL_DATA!$B$14,E67)),MAX($D$2:D66)+1,0)</f>
        <v>65</v>
      </c>
      <c r="E67" s="295" t="s">
        <v>996</v>
      </c>
      <c r="F67" s="296">
        <v>2310</v>
      </c>
      <c r="G67" s="297"/>
      <c r="H67" s="298" t="str">
        <f>IFERROR(VLOOKUP(ROWS($H$3:H67),$D$3:$E$204,2,0),"")</f>
        <v>NEPOMUK</v>
      </c>
      <c r="I67" s="266"/>
      <c r="J67" s="300" t="s">
        <v>997</v>
      </c>
      <c r="K67" s="288" t="s">
        <v>998</v>
      </c>
      <c r="M67" s="289">
        <f>IF(ISNUMBER(SEARCH(ZAKL_DATA!$B$29,N67)),MAX($M$2:M66)+1,0)</f>
        <v>65</v>
      </c>
      <c r="N67" s="290" t="s">
        <v>999</v>
      </c>
      <c r="O67" s="291" t="s">
        <v>1000</v>
      </c>
      <c r="Q67" s="292" t="str">
        <f>IFERROR(VLOOKUP(ROWS($Q$3:Q67),$M$3:$N$992,2,0),"")</f>
        <v>Stravování a pohostinství</v>
      </c>
      <c r="R67">
        <f>IF(ISNUMBER(SEARCH('1Př1'!$A$32,N67)),MAX($M$2:M66)+1,0)</f>
        <v>65</v>
      </c>
      <c r="S67" s="290" t="s">
        <v>999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0" t="s">
        <v>999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0" t="s">
        <v>999</v>
      </c>
      <c r="Z67" t="str">
        <f>IFERROR(VLOOKUP(ROWS($Z$3:Z67),$X$3:$Y$992,2,0),"")</f>
        <v>Stravování a pohostinství</v>
      </c>
    </row>
    <row r="68" spans="1:26" ht="12.75" customHeight="1">
      <c r="A68" s="266"/>
      <c r="B68" s="266"/>
      <c r="C68" s="266"/>
      <c r="D68" s="282">
        <f>IF(ISNUMBER(SEARCH(ZAKL_DATA!$B$14,E68)),MAX($D$2:D67)+1,0)</f>
        <v>66</v>
      </c>
      <c r="E68" s="295" t="s">
        <v>1001</v>
      </c>
      <c r="F68" s="296">
        <v>2311</v>
      </c>
      <c r="G68" s="297"/>
      <c r="H68" s="298" t="str">
        <f>IFERROR(VLOOKUP(ROWS($H$3:H68),$D$3:$E$204,2,0),"")</f>
        <v>PŘEŠTICE</v>
      </c>
      <c r="I68" s="266"/>
      <c r="J68" s="300" t="s">
        <v>1002</v>
      </c>
      <c r="K68" s="288" t="s">
        <v>1003</v>
      </c>
      <c r="M68" s="289">
        <f>IF(ISNUMBER(SEARCH(ZAKL_DATA!$B$29,N68)),MAX($M$2:M67)+1,0)</f>
        <v>66</v>
      </c>
      <c r="N68" s="290" t="s">
        <v>1004</v>
      </c>
      <c r="O68" s="291" t="s">
        <v>1005</v>
      </c>
      <c r="Q68" s="292" t="str">
        <f>IFERROR(VLOOKUP(ROWS($Q$3:Q68),$M$3:$N$992,2,0),"")</f>
        <v>Vydavatelské činnosti</v>
      </c>
      <c r="R68">
        <f>IF(ISNUMBER(SEARCH('1Př1'!$A$32,N68)),MAX($M$2:M67)+1,0)</f>
        <v>66</v>
      </c>
      <c r="S68" s="290" t="s">
        <v>1004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0" t="s">
        <v>1004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0" t="s">
        <v>1004</v>
      </c>
      <c r="Z68" t="str">
        <f>IFERROR(VLOOKUP(ROWS($Z$3:Z68),$X$3:$Y$992,2,0),"")</f>
        <v>Vydavatelské činnosti</v>
      </c>
    </row>
    <row r="69" spans="1:26" ht="12.75" customHeight="1">
      <c r="A69" s="266"/>
      <c r="B69" s="266"/>
      <c r="C69" s="266"/>
      <c r="D69" s="282">
        <f>IF(ISNUMBER(SEARCH(ZAKL_DATA!$B$14,E69)),MAX($D$2:D68)+1,0)</f>
        <v>67</v>
      </c>
      <c r="E69" s="295" t="s">
        <v>1006</v>
      </c>
      <c r="F69" s="296">
        <v>2312</v>
      </c>
      <c r="G69" s="297"/>
      <c r="H69" s="298" t="str">
        <f>IFERROR(VLOOKUP(ROWS($H$3:H69),$D$3:$E$204,2,0),"")</f>
        <v>ROKYCANY</v>
      </c>
      <c r="I69" s="266"/>
      <c r="J69" s="300" t="s">
        <v>1007</v>
      </c>
      <c r="K69" s="288" t="s">
        <v>1008</v>
      </c>
      <c r="M69" s="289">
        <f>IF(ISNUMBER(SEARCH(ZAKL_DATA!$B$29,N69)),MAX($M$2:M68)+1,0)</f>
        <v>67</v>
      </c>
      <c r="N69" s="290" t="s">
        <v>1009</v>
      </c>
      <c r="O69" s="291" t="s">
        <v>1010</v>
      </c>
      <c r="Q69" s="292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0" t="s">
        <v>1009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0" t="s">
        <v>1009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0" t="s">
        <v>1009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66"/>
      <c r="B70" s="266"/>
      <c r="C70" s="266"/>
      <c r="D70" s="282">
        <f>IF(ISNUMBER(SEARCH(ZAKL_DATA!$B$14,E70)),MAX($D$2:D69)+1,0)</f>
        <v>68</v>
      </c>
      <c r="E70" s="295" t="s">
        <v>1011</v>
      </c>
      <c r="F70" s="296">
        <v>2313</v>
      </c>
      <c r="G70" s="297"/>
      <c r="H70" s="298" t="str">
        <f>IFERROR(VLOOKUP(ROWS($H$3:H70),$D$3:$E$204,2,0),"")</f>
        <v>TACHOV</v>
      </c>
      <c r="I70" s="266"/>
      <c r="J70" s="300" t="s">
        <v>1012</v>
      </c>
      <c r="K70" s="288" t="s">
        <v>1013</v>
      </c>
      <c r="M70" s="289">
        <f>IF(ISNUMBER(SEARCH(ZAKL_DATA!$B$29,N70)),MAX($M$2:M69)+1,0)</f>
        <v>68</v>
      </c>
      <c r="N70" s="290" t="s">
        <v>1014</v>
      </c>
      <c r="O70" s="291" t="s">
        <v>1015</v>
      </c>
      <c r="Q70" s="292" t="str">
        <f>IFERROR(VLOOKUP(ROWS($Q$3:Q70),$M$3:$N$992,2,0),"")</f>
        <v>Tvorba programů a vysílání</v>
      </c>
      <c r="R70">
        <f>IF(ISNUMBER(SEARCH('1Př1'!$A$32,N70)),MAX($M$2:M69)+1,0)</f>
        <v>68</v>
      </c>
      <c r="S70" s="290" t="s">
        <v>1014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0" t="s">
        <v>1014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0" t="s">
        <v>1014</v>
      </c>
      <c r="Z70" t="str">
        <f>IFERROR(VLOOKUP(ROWS($Z$3:Z70),$X$3:$Y$992,2,0),"")</f>
        <v>Tvorba programů a vysílání</v>
      </c>
    </row>
    <row r="71" spans="1:26" ht="12.75" customHeight="1">
      <c r="A71" s="266"/>
      <c r="B71" s="266"/>
      <c r="C71" s="266"/>
      <c r="D71" s="282">
        <f>IF(ISNUMBER(SEARCH(ZAKL_DATA!$B$14,E71)),MAX($D$2:D70)+1,0)</f>
        <v>69</v>
      </c>
      <c r="E71" s="295" t="s">
        <v>1016</v>
      </c>
      <c r="F71" s="296">
        <v>2314</v>
      </c>
      <c r="G71" s="297"/>
      <c r="H71" s="298" t="str">
        <f>IFERROR(VLOOKUP(ROWS($H$3:H71),$D$3:$E$204,2,0),"")</f>
        <v>STŘÍBRO</v>
      </c>
      <c r="I71" s="266"/>
      <c r="J71" s="300" t="s">
        <v>1017</v>
      </c>
      <c r="K71" s="288" t="s">
        <v>1018</v>
      </c>
      <c r="M71" s="289">
        <f>IF(ISNUMBER(SEARCH(ZAKL_DATA!$B$29,N71)),MAX($M$2:M70)+1,0)</f>
        <v>69</v>
      </c>
      <c r="N71" s="290" t="s">
        <v>1019</v>
      </c>
      <c r="O71" s="291" t="s">
        <v>1020</v>
      </c>
      <c r="Q71" s="292" t="str">
        <f>IFERROR(VLOOKUP(ROWS($Q$3:Q71),$M$3:$N$992,2,0),"")</f>
        <v>Telekomunikační činnosti</v>
      </c>
      <c r="R71">
        <f>IF(ISNUMBER(SEARCH('1Př1'!$A$32,N71)),MAX($M$2:M70)+1,0)</f>
        <v>69</v>
      </c>
      <c r="S71" s="290" t="s">
        <v>1019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0" t="s">
        <v>1019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0" t="s">
        <v>1019</v>
      </c>
      <c r="Z71" t="str">
        <f>IFERROR(VLOOKUP(ROWS($Z$3:Z71),$X$3:$Y$992,2,0),"")</f>
        <v>Telekomunikační činnosti</v>
      </c>
    </row>
    <row r="72" spans="1:26" ht="12.75" customHeight="1">
      <c r="A72" s="266"/>
      <c r="B72" s="266"/>
      <c r="C72" s="266"/>
      <c r="D72" s="282">
        <f>IF(ISNUMBER(SEARCH(ZAKL_DATA!$B$14,E72)),MAX($D$2:D71)+1,0)</f>
        <v>70</v>
      </c>
      <c r="E72" s="295" t="s">
        <v>1021</v>
      </c>
      <c r="F72" s="296">
        <v>2315</v>
      </c>
      <c r="G72" s="297"/>
      <c r="H72" s="298" t="str">
        <f>IFERROR(VLOOKUP(ROWS($H$3:H72),$D$3:$E$204,2,0),"")</f>
        <v>SUŠICE</v>
      </c>
      <c r="I72" s="266"/>
      <c r="J72" s="300" t="s">
        <v>1022</v>
      </c>
      <c r="K72" s="288" t="s">
        <v>1023</v>
      </c>
      <c r="M72" s="289">
        <f>IF(ISNUMBER(SEARCH(ZAKL_DATA!$B$29,N72)),MAX($M$2:M71)+1,0)</f>
        <v>70</v>
      </c>
      <c r="N72" s="290" t="s">
        <v>1024</v>
      </c>
      <c r="O72" s="291" t="s">
        <v>1025</v>
      </c>
      <c r="Q72" s="292" t="str">
        <f>IFERROR(VLOOKUP(ROWS($Q$3:Q72),$M$3:$N$992,2,0),"")</f>
        <v>Těžba ropy</v>
      </c>
      <c r="R72">
        <f>IF(ISNUMBER(SEARCH('1Př1'!$A$32,N72)),MAX($M$2:M71)+1,0)</f>
        <v>70</v>
      </c>
      <c r="S72" s="290" t="s">
        <v>1024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0" t="s">
        <v>1024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0" t="s">
        <v>1024</v>
      </c>
      <c r="Z72" t="str">
        <f>IFERROR(VLOOKUP(ROWS($Z$3:Z72),$X$3:$Y$992,2,0),"")</f>
        <v>Těžba ropy</v>
      </c>
    </row>
    <row r="73" spans="1:26" ht="12.75" customHeight="1">
      <c r="A73" s="266"/>
      <c r="B73" s="266"/>
      <c r="C73" s="266"/>
      <c r="D73" s="282">
        <f>IF(ISNUMBER(SEARCH(ZAKL_DATA!$B$14,E73)),MAX($D$2:D72)+1,0)</f>
        <v>71</v>
      </c>
      <c r="E73" s="295" t="s">
        <v>1026</v>
      </c>
      <c r="F73" s="296">
        <v>2401</v>
      </c>
      <c r="G73" s="297"/>
      <c r="H73" s="298" t="str">
        <f>IFERROR(VLOOKUP(ROWS($H$3:H73),$D$3:$E$204,2,0),"")</f>
        <v>KARLOVY VARY</v>
      </c>
      <c r="I73" s="266"/>
      <c r="J73" s="300" t="s">
        <v>1027</v>
      </c>
      <c r="K73" s="288" t="s">
        <v>1028</v>
      </c>
      <c r="M73" s="289">
        <f>IF(ISNUMBER(SEARCH(ZAKL_DATA!$B$29,N73)),MAX($M$2:M72)+1,0)</f>
        <v>71</v>
      </c>
      <c r="N73" s="290" t="s">
        <v>1029</v>
      </c>
      <c r="O73" s="291" t="s">
        <v>1030</v>
      </c>
      <c r="Q73" s="292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0" t="s">
        <v>1029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0" t="s">
        <v>1029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0" t="s">
        <v>1029</v>
      </c>
      <c r="Z73" t="str">
        <f>IFERROR(VLOOKUP(ROWS($Z$3:Z73),$X$3:$Y$992,2,0),"")</f>
        <v>Činnosti v oblasti informačních technologií</v>
      </c>
    </row>
    <row r="74" spans="1:26" ht="12.75" customHeight="1">
      <c r="A74" s="266"/>
      <c r="B74" s="266"/>
      <c r="C74" s="266"/>
      <c r="D74" s="282">
        <f>IF(ISNUMBER(SEARCH(ZAKL_DATA!$B$14,E74)),MAX($D$2:D73)+1,0)</f>
        <v>72</v>
      </c>
      <c r="E74" s="295" t="s">
        <v>1031</v>
      </c>
      <c r="F74" s="296">
        <v>2402</v>
      </c>
      <c r="G74" s="297"/>
      <c r="H74" s="298" t="str">
        <f>IFERROR(VLOOKUP(ROWS($H$3:H74),$D$3:$E$204,2,0),"")</f>
        <v>AŠ</v>
      </c>
      <c r="I74" s="266"/>
      <c r="J74" s="300" t="s">
        <v>1032</v>
      </c>
      <c r="K74" s="288" t="s">
        <v>1033</v>
      </c>
      <c r="M74" s="289">
        <f>IF(ISNUMBER(SEARCH(ZAKL_DATA!$B$29,N74)),MAX($M$2:M73)+1,0)</f>
        <v>72</v>
      </c>
      <c r="N74" s="290" t="s">
        <v>1034</v>
      </c>
      <c r="O74" s="291" t="s">
        <v>1035</v>
      </c>
      <c r="Q74" s="292" t="str">
        <f>IFERROR(VLOOKUP(ROWS($Q$3:Q74),$M$3:$N$992,2,0),"")</f>
        <v>Těžba zemního plynu</v>
      </c>
      <c r="R74">
        <f>IF(ISNUMBER(SEARCH('1Př1'!$A$32,N74)),MAX($M$2:M73)+1,0)</f>
        <v>72</v>
      </c>
      <c r="S74" s="290" t="s">
        <v>1034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0" t="s">
        <v>1034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0" t="s">
        <v>1034</v>
      </c>
      <c r="Z74" t="str">
        <f>IFERROR(VLOOKUP(ROWS($Z$3:Z74),$X$3:$Y$992,2,0),"")</f>
        <v>Těžba zemního plynu</v>
      </c>
    </row>
    <row r="75" spans="1:26" ht="12.75" customHeight="1">
      <c r="A75" s="266"/>
      <c r="B75" s="266"/>
      <c r="C75" s="266"/>
      <c r="D75" s="282">
        <f>IF(ISNUMBER(SEARCH(ZAKL_DATA!$B$14,E75)),MAX($D$2:D74)+1,0)</f>
        <v>73</v>
      </c>
      <c r="E75" s="295" t="s">
        <v>1036</v>
      </c>
      <c r="F75" s="296">
        <v>2403</v>
      </c>
      <c r="G75" s="297"/>
      <c r="H75" s="298" t="str">
        <f>IFERROR(VLOOKUP(ROWS($H$3:H75),$D$3:$E$204,2,0),"")</f>
        <v>CHEB</v>
      </c>
      <c r="I75" s="266"/>
      <c r="J75" s="300" t="s">
        <v>1037</v>
      </c>
      <c r="K75" s="288" t="s">
        <v>1038</v>
      </c>
      <c r="M75" s="289">
        <f>IF(ISNUMBER(SEARCH(ZAKL_DATA!$B$29,N75)),MAX($M$2:M74)+1,0)</f>
        <v>73</v>
      </c>
      <c r="N75" s="290" t="s">
        <v>1039</v>
      </c>
      <c r="O75" s="291" t="s">
        <v>1040</v>
      </c>
      <c r="Q75" s="292" t="str">
        <f>IFERROR(VLOOKUP(ROWS($Q$3:Q75),$M$3:$N$992,2,0),"")</f>
        <v>Informační činnosti</v>
      </c>
      <c r="R75">
        <f>IF(ISNUMBER(SEARCH('1Př1'!$A$32,N75)),MAX($M$2:M74)+1,0)</f>
        <v>73</v>
      </c>
      <c r="S75" s="290" t="s">
        <v>1039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0" t="s">
        <v>1039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0" t="s">
        <v>1039</v>
      </c>
      <c r="Z75" t="str">
        <f>IFERROR(VLOOKUP(ROWS($Z$3:Z75),$X$3:$Y$992,2,0),"")</f>
        <v>Informační činnosti</v>
      </c>
    </row>
    <row r="76" spans="1:26" ht="12.75" customHeight="1">
      <c r="A76" s="266"/>
      <c r="B76" s="266"/>
      <c r="C76" s="266"/>
      <c r="D76" s="282">
        <f>IF(ISNUMBER(SEARCH(ZAKL_DATA!$B$14,E76)),MAX($D$2:D75)+1,0)</f>
        <v>74</v>
      </c>
      <c r="E76" s="295" t="s">
        <v>1041</v>
      </c>
      <c r="F76" s="296">
        <v>2404</v>
      </c>
      <c r="G76" s="297"/>
      <c r="H76" s="298" t="str">
        <f>IFERROR(VLOOKUP(ROWS($H$3:H76),$D$3:$E$204,2,0),"")</f>
        <v>KRASLICE</v>
      </c>
      <c r="I76" s="266"/>
      <c r="J76" s="300" t="s">
        <v>1042</v>
      </c>
      <c r="K76" s="288" t="s">
        <v>1043</v>
      </c>
      <c r="M76" s="289">
        <f>IF(ISNUMBER(SEARCH(ZAKL_DATA!$B$29,N76)),MAX($M$2:M75)+1,0)</f>
        <v>74</v>
      </c>
      <c r="N76" s="290" t="s">
        <v>1044</v>
      </c>
      <c r="O76" s="291" t="s">
        <v>1045</v>
      </c>
      <c r="Q76" s="292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0" t="s">
        <v>1044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0" t="s">
        <v>1044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0" t="s">
        <v>1044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66"/>
      <c r="B77" s="266"/>
      <c r="C77" s="266"/>
      <c r="D77" s="282">
        <f>IF(ISNUMBER(SEARCH(ZAKL_DATA!$B$14,E77)),MAX($D$2:D76)+1,0)</f>
        <v>75</v>
      </c>
      <c r="E77" s="295" t="s">
        <v>1046</v>
      </c>
      <c r="F77" s="296">
        <v>2405</v>
      </c>
      <c r="G77" s="297"/>
      <c r="H77" s="298" t="str">
        <f>IFERROR(VLOOKUP(ROWS($H$3:H77),$D$3:$E$204,2,0),"")</f>
        <v>MARIÁNSKÉ LÁZNĚ</v>
      </c>
      <c r="I77" s="266"/>
      <c r="J77" s="300" t="s">
        <v>1047</v>
      </c>
      <c r="K77" s="288" t="s">
        <v>1048</v>
      </c>
      <c r="M77" s="289">
        <f>IF(ISNUMBER(SEARCH(ZAKL_DATA!$B$29,N77)),MAX($M$2:M76)+1,0)</f>
        <v>75</v>
      </c>
      <c r="N77" s="290" t="s">
        <v>1049</v>
      </c>
      <c r="O77" s="291" t="s">
        <v>1050</v>
      </c>
      <c r="Q77" s="292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0" t="s">
        <v>1049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0" t="s">
        <v>1049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0" t="s">
        <v>1049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66"/>
      <c r="B78" s="266"/>
      <c r="C78" s="266"/>
      <c r="D78" s="282">
        <f>IF(ISNUMBER(SEARCH(ZAKL_DATA!$B$14,E78)),MAX($D$2:D77)+1,0)</f>
        <v>76</v>
      </c>
      <c r="E78" s="295" t="s">
        <v>1051</v>
      </c>
      <c r="F78" s="296">
        <v>2406</v>
      </c>
      <c r="G78" s="297"/>
      <c r="H78" s="298" t="str">
        <f>IFERROR(VLOOKUP(ROWS($H$3:H78),$D$3:$E$204,2,0),"")</f>
        <v>OSTROV NAD OHŘÍ</v>
      </c>
      <c r="I78" s="266"/>
      <c r="J78" s="300" t="s">
        <v>1052</v>
      </c>
      <c r="K78" s="288" t="s">
        <v>1053</v>
      </c>
      <c r="M78" s="289">
        <f>IF(ISNUMBER(SEARCH(ZAKL_DATA!$B$29,N78)),MAX($M$2:M77)+1,0)</f>
        <v>76</v>
      </c>
      <c r="N78" s="290" t="s">
        <v>1054</v>
      </c>
      <c r="O78" s="291" t="s">
        <v>1055</v>
      </c>
      <c r="Q78" s="292" t="str">
        <f>IFERROR(VLOOKUP(ROWS($Q$3:Q78),$M$3:$N$992,2,0),"")</f>
        <v>Ostatní finanční činnosti</v>
      </c>
      <c r="R78">
        <f>IF(ISNUMBER(SEARCH('1Př1'!$A$32,N78)),MAX($M$2:M77)+1,0)</f>
        <v>76</v>
      </c>
      <c r="S78" s="290" t="s">
        <v>1054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0" t="s">
        <v>1054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0" t="s">
        <v>1054</v>
      </c>
      <c r="Z78" t="str">
        <f>IFERROR(VLOOKUP(ROWS($Z$3:Z78),$X$3:$Y$992,2,0),"")</f>
        <v>Ostatní finanční činnosti</v>
      </c>
    </row>
    <row r="79" spans="1:26" ht="12.75" customHeight="1">
      <c r="A79" s="266"/>
      <c r="B79" s="266"/>
      <c r="C79" s="266"/>
      <c r="D79" s="282">
        <f>IF(ISNUMBER(SEARCH(ZAKL_DATA!$B$14,E79)),MAX($D$2:D78)+1,0)</f>
        <v>77</v>
      </c>
      <c r="E79" s="295" t="s">
        <v>1056</v>
      </c>
      <c r="F79" s="296">
        <v>2407</v>
      </c>
      <c r="G79" s="297"/>
      <c r="H79" s="298" t="str">
        <f>IFERROR(VLOOKUP(ROWS($H$3:H79),$D$3:$E$204,2,0),"")</f>
        <v>SOKOLOV</v>
      </c>
      <c r="I79" s="266"/>
      <c r="J79" s="300" t="s">
        <v>1057</v>
      </c>
      <c r="K79" s="288" t="s">
        <v>1058</v>
      </c>
      <c r="M79" s="289">
        <f>IF(ISNUMBER(SEARCH(ZAKL_DATA!$B$29,N79)),MAX($M$2:M78)+1,0)</f>
        <v>77</v>
      </c>
      <c r="N79" s="290" t="s">
        <v>1059</v>
      </c>
      <c r="O79" s="291" t="s">
        <v>1060</v>
      </c>
      <c r="Q79" s="292" t="str">
        <f>IFERROR(VLOOKUP(ROWS($Q$3:Q79),$M$3:$N$992,2,0),"")</f>
        <v>Činnosti v oblasti nemovitostí</v>
      </c>
      <c r="R79">
        <f>IF(ISNUMBER(SEARCH('1Př1'!$A$32,N79)),MAX($M$2:M78)+1,0)</f>
        <v>77</v>
      </c>
      <c r="S79" s="290" t="s">
        <v>1059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0" t="s">
        <v>1059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0" t="s">
        <v>1059</v>
      </c>
      <c r="Z79" t="str">
        <f>IFERROR(VLOOKUP(ROWS($Z$3:Z79),$X$3:$Y$992,2,0),"")</f>
        <v>Činnosti v oblasti nemovitostí</v>
      </c>
    </row>
    <row r="80" spans="1:26" ht="12.75" customHeight="1">
      <c r="A80" s="266"/>
      <c r="B80" s="266"/>
      <c r="C80" s="266"/>
      <c r="D80" s="282">
        <f>IF(ISNUMBER(SEARCH(ZAKL_DATA!$B$14,E80)),MAX($D$2:D79)+1,0)</f>
        <v>78</v>
      </c>
      <c r="E80" s="295" t="s">
        <v>1061</v>
      </c>
      <c r="F80" s="296">
        <v>2501</v>
      </c>
      <c r="G80" s="297"/>
      <c r="H80" s="298" t="str">
        <f>IFERROR(VLOOKUP(ROWS($H$3:H80),$D$3:$E$204,2,0),"")</f>
        <v>ÚSTÍ NAD LABEM</v>
      </c>
      <c r="I80" s="266"/>
      <c r="J80" s="300" t="s">
        <v>1062</v>
      </c>
      <c r="K80" s="288" t="s">
        <v>1063</v>
      </c>
      <c r="M80" s="289">
        <f>IF(ISNUMBER(SEARCH(ZAKL_DATA!$B$29,N80)),MAX($M$2:M79)+1,0)</f>
        <v>78</v>
      </c>
      <c r="N80" s="290" t="s">
        <v>1064</v>
      </c>
      <c r="O80" s="291" t="s">
        <v>1065</v>
      </c>
      <c r="Q80" s="292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0" t="s">
        <v>1064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0" t="s">
        <v>1064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0" t="s">
        <v>1064</v>
      </c>
      <c r="Z80" t="str">
        <f>IFERROR(VLOOKUP(ROWS($Z$3:Z80),$X$3:$Y$992,2,0),"")</f>
        <v>Právní a účetnické činnosti</v>
      </c>
    </row>
    <row r="81" spans="1:26" ht="12.75" customHeight="1">
      <c r="A81" s="266"/>
      <c r="B81" s="266"/>
      <c r="C81" s="266"/>
      <c r="D81" s="282">
        <f>IF(ISNUMBER(SEARCH(ZAKL_DATA!$B$14,E81)),MAX($D$2:D80)+1,0)</f>
        <v>79</v>
      </c>
      <c r="E81" s="295" t="s">
        <v>1066</v>
      </c>
      <c r="F81" s="296">
        <v>2502</v>
      </c>
      <c r="G81" s="297"/>
      <c r="H81" s="298" t="str">
        <f>IFERROR(VLOOKUP(ROWS($H$3:H81),$D$3:$E$204,2,0),"")</f>
        <v>BÍLINA</v>
      </c>
      <c r="I81" s="266"/>
      <c r="J81" s="300" t="s">
        <v>1067</v>
      </c>
      <c r="K81" s="288" t="s">
        <v>1068</v>
      </c>
      <c r="M81" s="289">
        <f>IF(ISNUMBER(SEARCH(ZAKL_DATA!$B$29,N81)),MAX($M$2:M80)+1,0)</f>
        <v>79</v>
      </c>
      <c r="N81" s="290" t="s">
        <v>1069</v>
      </c>
      <c r="O81" s="291" t="s">
        <v>1070</v>
      </c>
      <c r="Q81" s="292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0" t="s">
        <v>1069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0" t="s">
        <v>1069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0" t="s">
        <v>1069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66"/>
      <c r="B82" s="266"/>
      <c r="C82" s="266"/>
      <c r="D82" s="282">
        <f>IF(ISNUMBER(SEARCH(ZAKL_DATA!$B$14,E82)),MAX($D$2:D81)+1,0)</f>
        <v>80</v>
      </c>
      <c r="E82" s="295" t="s">
        <v>1071</v>
      </c>
      <c r="F82" s="296">
        <v>2503</v>
      </c>
      <c r="G82" s="297"/>
      <c r="H82" s="298" t="str">
        <f>IFERROR(VLOOKUP(ROWS($H$3:H82),$D$3:$E$204,2,0),"")</f>
        <v>DĚČÍN</v>
      </c>
      <c r="I82" s="266"/>
      <c r="J82" s="300" t="s">
        <v>1072</v>
      </c>
      <c r="K82" s="288" t="s">
        <v>1073</v>
      </c>
      <c r="M82" s="289">
        <f>IF(ISNUMBER(SEARCH(ZAKL_DATA!$B$29,N82)),MAX($M$2:M81)+1,0)</f>
        <v>80</v>
      </c>
      <c r="N82" s="290" t="s">
        <v>1074</v>
      </c>
      <c r="O82" s="291" t="s">
        <v>1075</v>
      </c>
      <c r="Q82" s="292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0" t="s">
        <v>1074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0" t="s">
        <v>1074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0" t="s">
        <v>1074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66"/>
      <c r="B83" s="266"/>
      <c r="C83" s="266"/>
      <c r="D83" s="282">
        <f>IF(ISNUMBER(SEARCH(ZAKL_DATA!$B$14,E83)),MAX($D$2:D82)+1,0)</f>
        <v>81</v>
      </c>
      <c r="E83" s="295" t="s">
        <v>1076</v>
      </c>
      <c r="F83" s="296">
        <v>2504</v>
      </c>
      <c r="G83" s="297"/>
      <c r="H83" s="298" t="str">
        <f>IFERROR(VLOOKUP(ROWS($H$3:H83),$D$3:$E$204,2,0),"")</f>
        <v>CHOMUTOV</v>
      </c>
      <c r="I83" s="266"/>
      <c r="J83" s="300" t="s">
        <v>1077</v>
      </c>
      <c r="K83" s="288" t="s">
        <v>1078</v>
      </c>
      <c r="M83" s="289">
        <f>IF(ISNUMBER(SEARCH(ZAKL_DATA!$B$29,N83)),MAX($M$2:M82)+1,0)</f>
        <v>81</v>
      </c>
      <c r="N83" s="290" t="s">
        <v>1079</v>
      </c>
      <c r="O83" s="291" t="s">
        <v>1080</v>
      </c>
      <c r="Q83" s="292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0" t="s">
        <v>1079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0" t="s">
        <v>1079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0" t="s">
        <v>1079</v>
      </c>
      <c r="Z83" t="str">
        <f>IFERROR(VLOOKUP(ROWS($Z$3:Z83),$X$3:$Y$992,2,0),"")</f>
        <v>Těžba a úprava železných rud</v>
      </c>
    </row>
    <row r="84" spans="1:26" ht="12.75" customHeight="1">
      <c r="A84" s="266"/>
      <c r="B84" s="266"/>
      <c r="C84" s="266"/>
      <c r="D84" s="282">
        <f>IF(ISNUMBER(SEARCH(ZAKL_DATA!$B$14,E84)),MAX($D$2:D83)+1,0)</f>
        <v>82</v>
      </c>
      <c r="E84" s="295" t="s">
        <v>1081</v>
      </c>
      <c r="F84" s="296">
        <v>2505</v>
      </c>
      <c r="G84" s="297"/>
      <c r="H84" s="298" t="str">
        <f>IFERROR(VLOOKUP(ROWS($H$3:H84),$D$3:$E$204,2,0),"")</f>
        <v>KADAŇ</v>
      </c>
      <c r="I84" s="266"/>
      <c r="J84" s="303" t="s">
        <v>1082</v>
      </c>
      <c r="K84" s="304" t="s">
        <v>1083</v>
      </c>
      <c r="M84" s="289">
        <f>IF(ISNUMBER(SEARCH(ZAKL_DATA!$B$29,N84)),MAX($M$2:M83)+1,0)</f>
        <v>82</v>
      </c>
      <c r="N84" s="290" t="s">
        <v>1084</v>
      </c>
      <c r="O84" s="291" t="s">
        <v>1085</v>
      </c>
      <c r="Q84" s="292" t="str">
        <f>IFERROR(VLOOKUP(ROWS($Q$3:Q84),$M$3:$N$992,2,0),"")</f>
        <v>Výzkum a vývoj</v>
      </c>
      <c r="R84">
        <f>IF(ISNUMBER(SEARCH('1Př1'!$A$32,N84)),MAX($M$2:M83)+1,0)</f>
        <v>82</v>
      </c>
      <c r="S84" s="290" t="s">
        <v>1084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0" t="s">
        <v>1084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0" t="s">
        <v>1084</v>
      </c>
      <c r="Z84" t="str">
        <f>IFERROR(VLOOKUP(ROWS($Z$3:Z84),$X$3:$Y$992,2,0),"")</f>
        <v>Výzkum a vývoj</v>
      </c>
    </row>
    <row r="85" spans="1:26" ht="12.75" customHeight="1">
      <c r="A85" s="266"/>
      <c r="B85" s="266"/>
      <c r="C85" s="266"/>
      <c r="D85" s="282">
        <f>IF(ISNUMBER(SEARCH(ZAKL_DATA!$B$14,E85)),MAX($D$2:D84)+1,0)</f>
        <v>83</v>
      </c>
      <c r="E85" s="295" t="s">
        <v>1086</v>
      </c>
      <c r="F85" s="296">
        <v>2506</v>
      </c>
      <c r="G85" s="297"/>
      <c r="H85" s="298" t="str">
        <f>IFERROR(VLOOKUP(ROWS($H$3:H85),$D$3:$E$204,2,0),"")</f>
        <v>LIBOCHOVICE</v>
      </c>
      <c r="I85" s="266"/>
      <c r="J85" s="300" t="s">
        <v>1087</v>
      </c>
      <c r="K85" s="288" t="s">
        <v>1088</v>
      </c>
      <c r="M85" s="289">
        <f>IF(ISNUMBER(SEARCH(ZAKL_DATA!$B$29,N85)),MAX($M$2:M84)+1,0)</f>
        <v>83</v>
      </c>
      <c r="N85" s="290" t="s">
        <v>1089</v>
      </c>
      <c r="O85" s="291" t="s">
        <v>1090</v>
      </c>
      <c r="Q85" s="292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0" t="s">
        <v>1089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0" t="s">
        <v>1089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0" t="s">
        <v>1089</v>
      </c>
      <c r="Z85" t="str">
        <f>IFERROR(VLOOKUP(ROWS($Z$3:Z85),$X$3:$Y$992,2,0),"")</f>
        <v>Těžba a úprava neželezných rud</v>
      </c>
    </row>
    <row r="86" spans="1:26" ht="12.75" customHeight="1">
      <c r="A86" s="266"/>
      <c r="B86" s="266"/>
      <c r="C86" s="266"/>
      <c r="D86" s="282">
        <f>IF(ISNUMBER(SEARCH(ZAKL_DATA!$B$14,E86)),MAX($D$2:D85)+1,0)</f>
        <v>84</v>
      </c>
      <c r="E86" s="295" t="s">
        <v>1091</v>
      </c>
      <c r="F86" s="296">
        <v>2507</v>
      </c>
      <c r="G86" s="297"/>
      <c r="H86" s="298" t="str">
        <f>IFERROR(VLOOKUP(ROWS($H$3:H86),$D$3:$E$204,2,0),"")</f>
        <v>LITOMĚŘICE</v>
      </c>
      <c r="I86" s="266"/>
      <c r="J86" s="300" t="s">
        <v>1092</v>
      </c>
      <c r="K86" s="288" t="s">
        <v>1093</v>
      </c>
      <c r="M86" s="289">
        <f>IF(ISNUMBER(SEARCH(ZAKL_DATA!$B$29,N86)),MAX($M$2:M85)+1,0)</f>
        <v>84</v>
      </c>
      <c r="N86" s="290" t="s">
        <v>1094</v>
      </c>
      <c r="O86" s="291" t="s">
        <v>1095</v>
      </c>
      <c r="Q86" s="292" t="str">
        <f>IFERROR(VLOOKUP(ROWS($Q$3:Q86),$M$3:$N$992,2,0),"")</f>
        <v>Reklama a průzkum trhu</v>
      </c>
      <c r="R86">
        <f>IF(ISNUMBER(SEARCH('1Př1'!$A$32,N86)),MAX($M$2:M85)+1,0)</f>
        <v>84</v>
      </c>
      <c r="S86" s="290" t="s">
        <v>1094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0" t="s">
        <v>1094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0" t="s">
        <v>1094</v>
      </c>
      <c r="Z86" t="str">
        <f>IFERROR(VLOOKUP(ROWS($Z$3:Z86),$X$3:$Y$992,2,0),"")</f>
        <v>Reklama a průzkum trhu</v>
      </c>
    </row>
    <row r="87" spans="1:26" ht="12.75" customHeight="1">
      <c r="A87" s="266"/>
      <c r="B87" s="266"/>
      <c r="C87" s="266"/>
      <c r="D87" s="282">
        <f>IF(ISNUMBER(SEARCH(ZAKL_DATA!$B$14,E87)),MAX($D$2:D86)+1,0)</f>
        <v>85</v>
      </c>
      <c r="E87" s="295" t="s">
        <v>1096</v>
      </c>
      <c r="F87" s="296">
        <v>2508</v>
      </c>
      <c r="G87" s="297"/>
      <c r="H87" s="298" t="str">
        <f>IFERROR(VLOOKUP(ROWS($H$3:H87),$D$3:$E$204,2,0),"")</f>
        <v>LITVÍNOV</v>
      </c>
      <c r="I87" s="266"/>
      <c r="J87" s="300" t="s">
        <v>1097</v>
      </c>
      <c r="K87" s="288" t="s">
        <v>1098</v>
      </c>
      <c r="M87" s="289">
        <f>IF(ISNUMBER(SEARCH(ZAKL_DATA!$B$29,N87)),MAX($M$2:M86)+1,0)</f>
        <v>85</v>
      </c>
      <c r="N87" s="290" t="s">
        <v>1099</v>
      </c>
      <c r="O87" s="291" t="s">
        <v>1100</v>
      </c>
      <c r="Q87" s="292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0" t="s">
        <v>1099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0" t="s">
        <v>1099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0" t="s">
        <v>1099</v>
      </c>
      <c r="Z87" t="str">
        <f>IFERROR(VLOOKUP(ROWS($Z$3:Z87),$X$3:$Y$992,2,0),"")</f>
        <v>Ostatní profesní, vědecké a technické činnosti</v>
      </c>
    </row>
    <row r="88" spans="1:26" ht="12.75" customHeight="1">
      <c r="A88" s="266"/>
      <c r="B88" s="266"/>
      <c r="C88" s="266"/>
      <c r="D88" s="282">
        <f>IF(ISNUMBER(SEARCH(ZAKL_DATA!$B$14,E88)),MAX($D$2:D87)+1,0)</f>
        <v>86</v>
      </c>
      <c r="E88" s="295" t="s">
        <v>1101</v>
      </c>
      <c r="F88" s="296">
        <v>2509</v>
      </c>
      <c r="G88" s="297"/>
      <c r="H88" s="298" t="str">
        <f>IFERROR(VLOOKUP(ROWS($H$3:H88),$D$3:$E$204,2,0),"")</f>
        <v>LOUNY</v>
      </c>
      <c r="I88" s="266"/>
      <c r="J88" s="300" t="s">
        <v>1102</v>
      </c>
      <c r="K88" s="288" t="s">
        <v>1103</v>
      </c>
      <c r="M88" s="289">
        <f>IF(ISNUMBER(SEARCH(ZAKL_DATA!$B$29,N88)),MAX($M$2:M87)+1,0)</f>
        <v>86</v>
      </c>
      <c r="N88" s="290" t="s">
        <v>1104</v>
      </c>
      <c r="O88" s="291" t="s">
        <v>1105</v>
      </c>
      <c r="Q88" s="292" t="str">
        <f>IFERROR(VLOOKUP(ROWS($Q$3:Q88),$M$3:$N$992,2,0),"")</f>
        <v>Veterinární činnosti</v>
      </c>
      <c r="R88">
        <f>IF(ISNUMBER(SEARCH('1Př1'!$A$32,N88)),MAX($M$2:M87)+1,0)</f>
        <v>86</v>
      </c>
      <c r="S88" s="290" t="s">
        <v>1104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0" t="s">
        <v>1104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0" t="s">
        <v>1104</v>
      </c>
      <c r="Z88" t="str">
        <f>IFERROR(VLOOKUP(ROWS($Z$3:Z88),$X$3:$Y$992,2,0),"")</f>
        <v>Veterinární činnosti</v>
      </c>
    </row>
    <row r="89" spans="1:26" ht="12.75" customHeight="1">
      <c r="A89" s="266"/>
      <c r="B89" s="266"/>
      <c r="C89" s="266"/>
      <c r="D89" s="282">
        <f>IF(ISNUMBER(SEARCH(ZAKL_DATA!$B$14,E89)),MAX($D$2:D88)+1,0)</f>
        <v>87</v>
      </c>
      <c r="E89" s="295" t="s">
        <v>1106</v>
      </c>
      <c r="F89" s="296">
        <v>2510</v>
      </c>
      <c r="G89" s="297"/>
      <c r="H89" s="298" t="str">
        <f>IFERROR(VLOOKUP(ROWS($H$3:H89),$D$3:$E$204,2,0),"")</f>
        <v>MOST</v>
      </c>
      <c r="I89" s="266"/>
      <c r="J89" s="300" t="s">
        <v>1107</v>
      </c>
      <c r="K89" s="288" t="s">
        <v>1108</v>
      </c>
      <c r="M89" s="289">
        <f>IF(ISNUMBER(SEARCH(ZAKL_DATA!$B$29,N89)),MAX($M$2:M88)+1,0)</f>
        <v>87</v>
      </c>
      <c r="N89" s="290" t="s">
        <v>1109</v>
      </c>
      <c r="O89" s="291" t="s">
        <v>1110</v>
      </c>
      <c r="Q89" s="292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0" t="s">
        <v>1109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0" t="s">
        <v>1109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0" t="s">
        <v>1109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66"/>
      <c r="B90" s="266"/>
      <c r="C90" s="266"/>
      <c r="D90" s="282">
        <f>IF(ISNUMBER(SEARCH(ZAKL_DATA!$B$14,E90)),MAX($D$2:D89)+1,0)</f>
        <v>88</v>
      </c>
      <c r="E90" s="295" t="s">
        <v>1111</v>
      </c>
      <c r="F90" s="296">
        <v>2511</v>
      </c>
      <c r="G90" s="297"/>
      <c r="H90" s="298" t="str">
        <f>IFERROR(VLOOKUP(ROWS($H$3:H90),$D$3:$E$204,2,0),"")</f>
        <v>PODBOŘANY</v>
      </c>
      <c r="I90" s="266"/>
      <c r="J90" s="300" t="s">
        <v>1112</v>
      </c>
      <c r="K90" s="288" t="s">
        <v>1113</v>
      </c>
      <c r="M90" s="289">
        <f>IF(ISNUMBER(SEARCH(ZAKL_DATA!$B$29,N90)),MAX($M$2:M89)+1,0)</f>
        <v>88</v>
      </c>
      <c r="N90" s="290" t="s">
        <v>1114</v>
      </c>
      <c r="O90" s="291" t="s">
        <v>1115</v>
      </c>
      <c r="Q90" s="292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0" t="s">
        <v>1114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0" t="s">
        <v>1114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0" t="s">
        <v>1114</v>
      </c>
      <c r="Z90" t="str">
        <f>IFERROR(VLOOKUP(ROWS($Z$3:Z90),$X$3:$Y$992,2,0),"")</f>
        <v>Činnosti související se zaměstnáním</v>
      </c>
    </row>
    <row r="91" spans="1:26" ht="12.75" customHeight="1">
      <c r="A91" s="266"/>
      <c r="B91" s="266"/>
      <c r="C91" s="266"/>
      <c r="D91" s="282">
        <f>IF(ISNUMBER(SEARCH(ZAKL_DATA!$B$14,E91)),MAX($D$2:D90)+1,0)</f>
        <v>89</v>
      </c>
      <c r="E91" s="295" t="s">
        <v>1116</v>
      </c>
      <c r="F91" s="296">
        <v>2512</v>
      </c>
      <c r="G91" s="297"/>
      <c r="H91" s="298" t="str">
        <f>IFERROR(VLOOKUP(ROWS($H$3:H91),$D$3:$E$204,2,0),"")</f>
        <v>ROUDNICE NAD LABEM</v>
      </c>
      <c r="I91" s="266"/>
      <c r="J91" s="300" t="s">
        <v>1117</v>
      </c>
      <c r="K91" s="288" t="s">
        <v>1118</v>
      </c>
      <c r="M91" s="289">
        <f>IF(ISNUMBER(SEARCH(ZAKL_DATA!$B$29,N91)),MAX($M$2:M90)+1,0)</f>
        <v>89</v>
      </c>
      <c r="N91" s="290" t="s">
        <v>1119</v>
      </c>
      <c r="O91" s="291" t="s">
        <v>1120</v>
      </c>
      <c r="Q91" s="292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0" t="s">
        <v>1119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0" t="s">
        <v>1119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0" t="s">
        <v>1119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66"/>
      <c r="B92" s="266"/>
      <c r="C92" s="266"/>
      <c r="D92" s="282">
        <f>IF(ISNUMBER(SEARCH(ZAKL_DATA!$B$14,E92)),MAX($D$2:D91)+1,0)</f>
        <v>90</v>
      </c>
      <c r="E92" s="295" t="s">
        <v>1121</v>
      </c>
      <c r="F92" s="296">
        <v>2513</v>
      </c>
      <c r="G92" s="297"/>
      <c r="H92" s="298" t="str">
        <f>IFERROR(VLOOKUP(ROWS($H$3:H92),$D$3:$E$204,2,0),"")</f>
        <v>RUMBURK</v>
      </c>
      <c r="I92" s="266"/>
      <c r="J92" s="300" t="s">
        <v>1122</v>
      </c>
      <c r="K92" s="288" t="s">
        <v>1123</v>
      </c>
      <c r="M92" s="289">
        <f>IF(ISNUMBER(SEARCH(ZAKL_DATA!$B$29,N92)),MAX($M$2:M91)+1,0)</f>
        <v>90</v>
      </c>
      <c r="N92" s="290" t="s">
        <v>1124</v>
      </c>
      <c r="O92" s="291" t="s">
        <v>1125</v>
      </c>
      <c r="Q92" s="292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0" t="s">
        <v>1124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0" t="s">
        <v>1124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0" t="s">
        <v>1124</v>
      </c>
      <c r="Z92" t="str">
        <f>IFERROR(VLOOKUP(ROWS($Z$3:Z92),$X$3:$Y$992,2,0),"")</f>
        <v>Bezpečnostní a pátrací činnosti</v>
      </c>
    </row>
    <row r="93" spans="1:26" ht="12.75" customHeight="1">
      <c r="A93" s="266"/>
      <c r="B93" s="266"/>
      <c r="C93" s="266"/>
      <c r="D93" s="282">
        <f>IF(ISNUMBER(SEARCH(ZAKL_DATA!$B$14,E93)),MAX($D$2:D92)+1,0)</f>
        <v>91</v>
      </c>
      <c r="E93" s="295" t="s">
        <v>1126</v>
      </c>
      <c r="F93" s="296">
        <v>2514</v>
      </c>
      <c r="G93" s="297"/>
      <c r="H93" s="298" t="str">
        <f>IFERROR(VLOOKUP(ROWS($H$3:H93),$D$3:$E$204,2,0),"")</f>
        <v>TEPLICE</v>
      </c>
      <c r="I93" s="266"/>
      <c r="J93" s="300" t="s">
        <v>1127</v>
      </c>
      <c r="K93" s="288" t="s">
        <v>1128</v>
      </c>
      <c r="M93" s="289">
        <f>IF(ISNUMBER(SEARCH(ZAKL_DATA!$B$29,N93)),MAX($M$2:M92)+1,0)</f>
        <v>91</v>
      </c>
      <c r="N93" s="290" t="s">
        <v>1129</v>
      </c>
      <c r="O93" s="291" t="s">
        <v>1130</v>
      </c>
      <c r="Q93" s="292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0" t="s">
        <v>1129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0" t="s">
        <v>1129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0" t="s">
        <v>1129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66"/>
      <c r="B94" s="266"/>
      <c r="C94" s="266"/>
      <c r="D94" s="282">
        <f>IF(ISNUMBER(SEARCH(ZAKL_DATA!$B$14,E94)),MAX($D$2:D93)+1,0)</f>
        <v>92</v>
      </c>
      <c r="E94" s="295" t="s">
        <v>1131</v>
      </c>
      <c r="F94" s="296">
        <v>2515</v>
      </c>
      <c r="G94" s="297"/>
      <c r="H94" s="298" t="str">
        <f>IFERROR(VLOOKUP(ROWS($H$3:H94),$D$3:$E$204,2,0),"")</f>
        <v>ŽATEC</v>
      </c>
      <c r="I94" s="266"/>
      <c r="J94" s="300" t="s">
        <v>1132</v>
      </c>
      <c r="K94" s="288" t="s">
        <v>1133</v>
      </c>
      <c r="M94" s="289">
        <f>IF(ISNUMBER(SEARCH(ZAKL_DATA!$B$29,N94)),MAX($M$2:M93)+1,0)</f>
        <v>92</v>
      </c>
      <c r="N94" s="290" t="s">
        <v>1134</v>
      </c>
      <c r="O94" s="291" t="s">
        <v>1135</v>
      </c>
      <c r="Q94" s="292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0" t="s">
        <v>1134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0" t="s">
        <v>1134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0" t="s">
        <v>1134</v>
      </c>
      <c r="Z94" t="str">
        <f>IFERROR(VLOOKUP(ROWS($Z$3:Z94),$X$3:$Y$992,2,0),"")</f>
        <v>Dobývání kamene, písků a jílů</v>
      </c>
    </row>
    <row r="95" spans="1:26" ht="12.75" customHeight="1">
      <c r="A95" s="266"/>
      <c r="B95" s="266"/>
      <c r="C95" s="266"/>
      <c r="D95" s="282">
        <f>IF(ISNUMBER(SEARCH(ZAKL_DATA!$B$14,E95)),MAX($D$2:D94)+1,0)</f>
        <v>93</v>
      </c>
      <c r="E95" s="295" t="s">
        <v>1136</v>
      </c>
      <c r="F95" s="296">
        <v>2601</v>
      </c>
      <c r="G95" s="297"/>
      <c r="H95" s="298" t="str">
        <f>IFERROR(VLOOKUP(ROWS($H$3:H95),$D$3:$E$204,2,0),"")</f>
        <v>LIBEREC</v>
      </c>
      <c r="I95" s="266"/>
      <c r="J95" s="300" t="s">
        <v>1137</v>
      </c>
      <c r="K95" s="288" t="s">
        <v>1138</v>
      </c>
      <c r="M95" s="289">
        <f>IF(ISNUMBER(SEARCH(ZAKL_DATA!$B$29,N95)),MAX($M$2:M94)+1,0)</f>
        <v>93</v>
      </c>
      <c r="N95" s="290" t="s">
        <v>1139</v>
      </c>
      <c r="O95" s="291" t="s">
        <v>1140</v>
      </c>
      <c r="Q95" s="292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0" t="s">
        <v>1139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0" t="s">
        <v>1139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0" t="s">
        <v>1139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66"/>
      <c r="B96" s="266"/>
      <c r="C96" s="266"/>
      <c r="D96" s="282">
        <f>IF(ISNUMBER(SEARCH(ZAKL_DATA!$B$14,E96)),MAX($D$2:D95)+1,0)</f>
        <v>94</v>
      </c>
      <c r="E96" s="295" t="s">
        <v>1141</v>
      </c>
      <c r="F96" s="296">
        <v>2602</v>
      </c>
      <c r="G96" s="297"/>
      <c r="H96" s="298" t="str">
        <f>IFERROR(VLOOKUP(ROWS($H$3:H96),$D$3:$E$204,2,0),"")</f>
        <v>ČESKÁ LÍPA</v>
      </c>
      <c r="I96" s="266"/>
      <c r="J96" s="300" t="s">
        <v>1142</v>
      </c>
      <c r="K96" s="288" t="s">
        <v>1143</v>
      </c>
      <c r="M96" s="289">
        <f>IF(ISNUMBER(SEARCH(ZAKL_DATA!$B$29,N96)),MAX($M$2:M95)+1,0)</f>
        <v>94</v>
      </c>
      <c r="N96" s="290" t="s">
        <v>1144</v>
      </c>
      <c r="O96" s="291" t="s">
        <v>1145</v>
      </c>
      <c r="Q96" s="292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0" t="s">
        <v>1144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0" t="s">
        <v>1144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0" t="s">
        <v>1144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66"/>
      <c r="B97" s="266"/>
      <c r="C97" s="266"/>
      <c r="D97" s="282">
        <f>IF(ISNUMBER(SEARCH(ZAKL_DATA!$B$14,E97)),MAX($D$2:D96)+1,0)</f>
        <v>95</v>
      </c>
      <c r="E97" s="295" t="s">
        <v>1146</v>
      </c>
      <c r="F97" s="296">
        <v>2603</v>
      </c>
      <c r="G97" s="297"/>
      <c r="H97" s="298" t="str">
        <f>IFERROR(VLOOKUP(ROWS($H$3:H97),$D$3:$E$204,2,0),"")</f>
        <v>FRÝDLANT</v>
      </c>
      <c r="I97" s="266"/>
      <c r="J97" s="300" t="s">
        <v>1147</v>
      </c>
      <c r="K97" s="288" t="s">
        <v>1148</v>
      </c>
      <c r="M97" s="289">
        <f>IF(ISNUMBER(SEARCH(ZAKL_DATA!$B$29,N97)),MAX($M$2:M96)+1,0)</f>
        <v>95</v>
      </c>
      <c r="N97" s="290" t="s">
        <v>1149</v>
      </c>
      <c r="O97" s="291" t="s">
        <v>1150</v>
      </c>
      <c r="Q97" s="292" t="str">
        <f>IFERROR(VLOOKUP(ROWS($Q$3:Q97),$M$3:$N$992,2,0),"")</f>
        <v>Vzdělávání</v>
      </c>
      <c r="R97">
        <f>IF(ISNUMBER(SEARCH('1Př1'!$A$32,N97)),MAX($M$2:M96)+1,0)</f>
        <v>95</v>
      </c>
      <c r="S97" s="290" t="s">
        <v>1149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0" t="s">
        <v>1149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0" t="s">
        <v>1149</v>
      </c>
      <c r="Z97" t="str">
        <f>IFERROR(VLOOKUP(ROWS($Z$3:Z97),$X$3:$Y$992,2,0),"")</f>
        <v>Vzdělávání</v>
      </c>
    </row>
    <row r="98" spans="1:26" ht="12.75" customHeight="1">
      <c r="A98" s="266"/>
      <c r="B98" s="266"/>
      <c r="C98" s="266"/>
      <c r="D98" s="282">
        <f>IF(ISNUMBER(SEARCH(ZAKL_DATA!$B$14,E98)),MAX($D$2:D97)+1,0)</f>
        <v>96</v>
      </c>
      <c r="E98" s="295" t="s">
        <v>1151</v>
      </c>
      <c r="F98" s="296">
        <v>2604</v>
      </c>
      <c r="G98" s="297"/>
      <c r="H98" s="298" t="str">
        <f>IFERROR(VLOOKUP(ROWS($H$3:H98),$D$3:$E$204,2,0),"")</f>
        <v>JABLONEC NAD NISOU</v>
      </c>
      <c r="I98" s="266"/>
      <c r="J98" s="300" t="s">
        <v>1152</v>
      </c>
      <c r="K98" s="288" t="s">
        <v>1153</v>
      </c>
      <c r="M98" s="289">
        <f>IF(ISNUMBER(SEARCH(ZAKL_DATA!$B$29,N98)),MAX($M$2:M97)+1,0)</f>
        <v>96</v>
      </c>
      <c r="N98" s="290" t="s">
        <v>1154</v>
      </c>
      <c r="O98" s="291" t="s">
        <v>1155</v>
      </c>
      <c r="Q98" s="292" t="str">
        <f>IFERROR(VLOOKUP(ROWS($Q$3:Q98),$M$3:$N$992,2,0),"")</f>
        <v>Zdravotní péče</v>
      </c>
      <c r="R98">
        <f>IF(ISNUMBER(SEARCH('1Př1'!$A$32,N98)),MAX($M$2:M97)+1,0)</f>
        <v>96</v>
      </c>
      <c r="S98" s="290" t="s">
        <v>1154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0" t="s">
        <v>1154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0" t="s">
        <v>1154</v>
      </c>
      <c r="Z98" t="str">
        <f>IFERROR(VLOOKUP(ROWS($Z$3:Z98),$X$3:$Y$992,2,0),"")</f>
        <v>Zdravotní péče</v>
      </c>
    </row>
    <row r="99" spans="1:26" ht="12.75" customHeight="1">
      <c r="A99" s="266"/>
      <c r="B99" s="266"/>
      <c r="C99" s="266"/>
      <c r="D99" s="282">
        <f>IF(ISNUMBER(SEARCH(ZAKL_DATA!$B$14,E99)),MAX($D$2:D98)+1,0)</f>
        <v>97</v>
      </c>
      <c r="E99" s="295" t="s">
        <v>1156</v>
      </c>
      <c r="F99" s="296">
        <v>2605</v>
      </c>
      <c r="G99" s="297"/>
      <c r="H99" s="298" t="str">
        <f>IFERROR(VLOOKUP(ROWS($H$3:H99),$D$3:$E$204,2,0),"")</f>
        <v>JILEMNICE</v>
      </c>
      <c r="I99" s="266"/>
      <c r="J99" s="300" t="s">
        <v>1157</v>
      </c>
      <c r="K99" s="288" t="s">
        <v>1158</v>
      </c>
      <c r="M99" s="289">
        <f>IF(ISNUMBER(SEARCH(ZAKL_DATA!$B$29,N99)),MAX($M$2:M98)+1,0)</f>
        <v>97</v>
      </c>
      <c r="N99" s="290" t="s">
        <v>1159</v>
      </c>
      <c r="O99" s="291" t="s">
        <v>1160</v>
      </c>
      <c r="Q99" s="292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0" t="s">
        <v>1159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0" t="s">
        <v>1159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0" t="s">
        <v>1159</v>
      </c>
      <c r="Z99" t="str">
        <f>IFERROR(VLOOKUP(ROWS($Z$3:Z99),$X$3:$Y$992,2,0),"")</f>
        <v>Pobytové služby sociální péče</v>
      </c>
    </row>
    <row r="100" spans="1:26" ht="12.75" customHeight="1">
      <c r="A100" s="266"/>
      <c r="B100" s="266"/>
      <c r="C100" s="266"/>
      <c r="D100" s="282">
        <f>IF(ISNUMBER(SEARCH(ZAKL_DATA!$B$14,E100)),MAX($D$2:D99)+1,0)</f>
        <v>98</v>
      </c>
      <c r="E100" s="295" t="s">
        <v>1161</v>
      </c>
      <c r="F100" s="296">
        <v>2606</v>
      </c>
      <c r="G100" s="297"/>
      <c r="H100" s="298" t="str">
        <f>IFERROR(VLOOKUP(ROWS($H$3:H100),$D$3:$E$204,2,0),"")</f>
        <v>NOVÝ BOR</v>
      </c>
      <c r="I100" s="266"/>
      <c r="J100" s="300" t="s">
        <v>1162</v>
      </c>
      <c r="K100" s="288" t="s">
        <v>1163</v>
      </c>
      <c r="M100" s="289">
        <f>IF(ISNUMBER(SEARCH(ZAKL_DATA!$B$29,N100)),MAX($M$2:M99)+1,0)</f>
        <v>98</v>
      </c>
      <c r="N100" s="290" t="s">
        <v>1164</v>
      </c>
      <c r="O100" s="291" t="s">
        <v>1165</v>
      </c>
      <c r="Q100" s="292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0" t="s">
        <v>1164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0" t="s">
        <v>1164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0" t="s">
        <v>1164</v>
      </c>
      <c r="Z100" t="str">
        <f>IFERROR(VLOOKUP(ROWS($Z$3:Z100),$X$3:$Y$992,2,0),"")</f>
        <v>Ambulantní nebo terénní sociální služby</v>
      </c>
    </row>
    <row r="101" spans="1:26" ht="12.75" customHeight="1">
      <c r="A101" s="266"/>
      <c r="B101" s="266"/>
      <c r="C101" s="266"/>
      <c r="D101" s="282">
        <f>IF(ISNUMBER(SEARCH(ZAKL_DATA!$B$14,E101)),MAX($D$2:D100)+1,0)</f>
        <v>99</v>
      </c>
      <c r="E101" s="295" t="s">
        <v>1166</v>
      </c>
      <c r="F101" s="296">
        <v>2607</v>
      </c>
      <c r="G101" s="297"/>
      <c r="H101" s="298" t="str">
        <f>IFERROR(VLOOKUP(ROWS($H$3:H101),$D$3:$E$204,2,0),"")</f>
        <v>SEMILY</v>
      </c>
      <c r="I101" s="266"/>
      <c r="J101" s="300" t="s">
        <v>1167</v>
      </c>
      <c r="K101" s="288" t="s">
        <v>1168</v>
      </c>
      <c r="M101" s="289">
        <f>IF(ISNUMBER(SEARCH(ZAKL_DATA!$B$29,N101)),MAX($M$2:M100)+1,0)</f>
        <v>99</v>
      </c>
      <c r="N101" s="290" t="s">
        <v>1169</v>
      </c>
      <c r="O101" s="291" t="s">
        <v>1170</v>
      </c>
      <c r="Q101" s="292" t="str">
        <f>IFERROR(VLOOKUP(ROWS($Q$3:Q101),$M$3:$N$992,2,0),"")</f>
        <v>Těžba a dobývání j. n.</v>
      </c>
      <c r="R101">
        <f>IF(ISNUMBER(SEARCH('1Př1'!$A$32,N101)),MAX($M$2:M100)+1,0)</f>
        <v>99</v>
      </c>
      <c r="S101" s="290" t="s">
        <v>1169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0" t="s">
        <v>1169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0" t="s">
        <v>1169</v>
      </c>
      <c r="Z101" t="str">
        <f>IFERROR(VLOOKUP(ROWS($Z$3:Z101),$X$3:$Y$992,2,0),"")</f>
        <v>Těžba a dobývání j. n.</v>
      </c>
    </row>
    <row r="102" spans="1:26" ht="12.75" customHeight="1">
      <c r="A102" s="266"/>
      <c r="B102" s="266"/>
      <c r="C102" s="266"/>
      <c r="D102" s="282">
        <f>IF(ISNUMBER(SEARCH(ZAKL_DATA!$B$14,E102)),MAX($D$2:D101)+1,0)</f>
        <v>100</v>
      </c>
      <c r="E102" s="295" t="s">
        <v>1171</v>
      </c>
      <c r="F102" s="296">
        <v>2608</v>
      </c>
      <c r="G102" s="297"/>
      <c r="H102" s="298" t="str">
        <f>IFERROR(VLOOKUP(ROWS($H$3:H102),$D$3:$E$204,2,0),"")</f>
        <v>TANVALD</v>
      </c>
      <c r="I102" s="266"/>
      <c r="J102" s="300" t="s">
        <v>1172</v>
      </c>
      <c r="K102" s="288" t="s">
        <v>1173</v>
      </c>
      <c r="M102" s="289">
        <f>IF(ISNUMBER(SEARCH(ZAKL_DATA!$B$29,N102)),MAX($M$2:M101)+1,0)</f>
        <v>100</v>
      </c>
      <c r="N102" s="290" t="s">
        <v>1174</v>
      </c>
      <c r="O102" s="291" t="s">
        <v>1175</v>
      </c>
      <c r="Q102" s="292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0" t="s">
        <v>1174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0" t="s">
        <v>1174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0" t="s">
        <v>1174</v>
      </c>
      <c r="Z102" t="str">
        <f>IFERROR(VLOOKUP(ROWS($Z$3:Z102),$X$3:$Y$992,2,0),"")</f>
        <v>Tvůrčí, umělecké a zábavní činnosti</v>
      </c>
    </row>
    <row r="103" spans="1:26" ht="12.75" customHeight="1">
      <c r="A103" s="266"/>
      <c r="B103" s="266"/>
      <c r="C103" s="266"/>
      <c r="D103" s="282">
        <f>IF(ISNUMBER(SEARCH(ZAKL_DATA!$B$14,E103)),MAX($D$2:D102)+1,0)</f>
        <v>101</v>
      </c>
      <c r="E103" s="295" t="s">
        <v>1176</v>
      </c>
      <c r="F103" s="296">
        <v>2609</v>
      </c>
      <c r="G103" s="297"/>
      <c r="H103" s="298" t="str">
        <f>IFERROR(VLOOKUP(ROWS($H$3:H103),$D$3:$E$204,2,0),"")</f>
        <v>TURNOV</v>
      </c>
      <c r="I103" s="266"/>
      <c r="J103" s="300" t="s">
        <v>1177</v>
      </c>
      <c r="K103" s="288" t="s">
        <v>1178</v>
      </c>
      <c r="M103" s="289">
        <f>IF(ISNUMBER(SEARCH(ZAKL_DATA!$B$29,N103)),MAX($M$2:M102)+1,0)</f>
        <v>101</v>
      </c>
      <c r="N103" s="290" t="s">
        <v>1179</v>
      </c>
      <c r="O103" s="291" t="s">
        <v>1180</v>
      </c>
      <c r="Q103" s="292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0" t="s">
        <v>1179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0" t="s">
        <v>1179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0" t="s">
        <v>1179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66"/>
      <c r="B104" s="266"/>
      <c r="C104" s="266"/>
      <c r="D104" s="282">
        <f>IF(ISNUMBER(SEARCH(ZAKL_DATA!$B$14,E104)),MAX($D$2:D103)+1,0)</f>
        <v>102</v>
      </c>
      <c r="E104" s="295" t="s">
        <v>1181</v>
      </c>
      <c r="F104" s="296">
        <v>2610</v>
      </c>
      <c r="G104" s="297"/>
      <c r="H104" s="298" t="str">
        <f>IFERROR(VLOOKUP(ROWS($H$3:H104),$D$3:$E$204,2,0),"")</f>
        <v>ŽELEZNÝ BROD</v>
      </c>
      <c r="I104" s="266"/>
      <c r="J104" s="300" t="s">
        <v>1182</v>
      </c>
      <c r="K104" s="288" t="s">
        <v>1183</v>
      </c>
      <c r="M104" s="289">
        <f>IF(ISNUMBER(SEARCH(ZAKL_DATA!$B$29,N104)),MAX($M$2:M103)+1,0)</f>
        <v>102</v>
      </c>
      <c r="N104" s="290" t="s">
        <v>1184</v>
      </c>
      <c r="O104" s="291" t="s">
        <v>1185</v>
      </c>
      <c r="Q104" s="292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0" t="s">
        <v>1184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0" t="s">
        <v>1184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0" t="s">
        <v>1184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66"/>
      <c r="B105" s="266"/>
      <c r="C105" s="266"/>
      <c r="D105" s="282">
        <f>IF(ISNUMBER(SEARCH(ZAKL_DATA!$B$14,E105)),MAX($D$2:D104)+1,0)</f>
        <v>103</v>
      </c>
      <c r="E105" s="295" t="s">
        <v>1186</v>
      </c>
      <c r="F105" s="296">
        <v>2701</v>
      </c>
      <c r="G105" s="297"/>
      <c r="H105" s="298" t="str">
        <f>IFERROR(VLOOKUP(ROWS($H$3:H105),$D$3:$E$204,2,0),"")</f>
        <v>HRADEC KRÁLOVÉ</v>
      </c>
      <c r="I105" s="266"/>
      <c r="J105" s="300" t="s">
        <v>1187</v>
      </c>
      <c r="K105" s="288" t="s">
        <v>1188</v>
      </c>
      <c r="M105" s="289">
        <f>IF(ISNUMBER(SEARCH(ZAKL_DATA!$B$29,N105)),MAX($M$2:M104)+1,0)</f>
        <v>103</v>
      </c>
      <c r="N105" s="290" t="s">
        <v>1189</v>
      </c>
      <c r="O105" s="291" t="s">
        <v>1190</v>
      </c>
      <c r="Q105" s="292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0" t="s">
        <v>1189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0" t="s">
        <v>1189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0" t="s">
        <v>1189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66"/>
      <c r="B106" s="266"/>
      <c r="C106" s="266"/>
      <c r="D106" s="282">
        <f>IF(ISNUMBER(SEARCH(ZAKL_DATA!$B$14,E106)),MAX($D$2:D105)+1,0)</f>
        <v>104</v>
      </c>
      <c r="E106" s="295" t="s">
        <v>1191</v>
      </c>
      <c r="F106" s="296">
        <v>2702</v>
      </c>
      <c r="G106" s="297"/>
      <c r="H106" s="298" t="str">
        <f>IFERROR(VLOOKUP(ROWS($H$3:H106),$D$3:$E$204,2,0),"")</f>
        <v>BROUMOV</v>
      </c>
      <c r="I106" s="266"/>
      <c r="J106" s="300" t="s">
        <v>1192</v>
      </c>
      <c r="K106" s="288" t="s">
        <v>1193</v>
      </c>
      <c r="M106" s="289">
        <f>IF(ISNUMBER(SEARCH(ZAKL_DATA!$B$29,N106)),MAX($M$2:M105)+1,0)</f>
        <v>104</v>
      </c>
      <c r="N106" s="290" t="s">
        <v>1194</v>
      </c>
      <c r="O106" s="291" t="s">
        <v>1195</v>
      </c>
      <c r="Q106" s="292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0" t="s">
        <v>1194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0" t="s">
        <v>1194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0" t="s">
        <v>1194</v>
      </c>
      <c r="Z106" t="str">
        <f>IFERROR(VLOOKUP(ROWS($Z$3:Z106),$X$3:$Y$992,2,0),"")</f>
        <v>Sportovní, zábavní a rekreační činnosti</v>
      </c>
    </row>
    <row r="107" spans="1:26" ht="12.75" customHeight="1">
      <c r="A107" s="266"/>
      <c r="B107" s="266"/>
      <c r="C107" s="266"/>
      <c r="D107" s="282">
        <f>IF(ISNUMBER(SEARCH(ZAKL_DATA!$B$14,E107)),MAX($D$2:D106)+1,0)</f>
        <v>105</v>
      </c>
      <c r="E107" s="295" t="s">
        <v>1196</v>
      </c>
      <c r="F107" s="296">
        <v>2703</v>
      </c>
      <c r="G107" s="297"/>
      <c r="H107" s="298" t="str">
        <f>IFERROR(VLOOKUP(ROWS($H$3:H107),$D$3:$E$204,2,0),"")</f>
        <v>DOBRUŠKA</v>
      </c>
      <c r="I107" s="266"/>
      <c r="J107" s="300" t="s">
        <v>1197</v>
      </c>
      <c r="K107" s="288" t="s">
        <v>1198</v>
      </c>
      <c r="M107" s="289">
        <f>IF(ISNUMBER(SEARCH(ZAKL_DATA!$B$29,N107)),MAX($M$2:M106)+1,0)</f>
        <v>105</v>
      </c>
      <c r="N107" s="290" t="s">
        <v>1199</v>
      </c>
      <c r="O107" s="291" t="s">
        <v>1200</v>
      </c>
      <c r="Q107" s="292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0" t="s">
        <v>1199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0" t="s">
        <v>1199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0" t="s">
        <v>1199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66"/>
      <c r="B108" s="266"/>
      <c r="C108" s="266"/>
      <c r="D108" s="282">
        <f>IF(ISNUMBER(SEARCH(ZAKL_DATA!$B$14,E108)),MAX($D$2:D107)+1,0)</f>
        <v>106</v>
      </c>
      <c r="E108" s="295" t="s">
        <v>1201</v>
      </c>
      <c r="F108" s="296">
        <v>2704</v>
      </c>
      <c r="G108" s="297"/>
      <c r="H108" s="298" t="str">
        <f>IFERROR(VLOOKUP(ROWS($H$3:H108),$D$3:$E$204,2,0),"")</f>
        <v>DVŮR KRÁLOVÉ</v>
      </c>
      <c r="I108" s="266"/>
      <c r="J108" s="300" t="s">
        <v>1202</v>
      </c>
      <c r="K108" s="288" t="s">
        <v>1203</v>
      </c>
      <c r="M108" s="289">
        <f>IF(ISNUMBER(SEARCH(ZAKL_DATA!$B$29,N108)),MAX($M$2:M107)+1,0)</f>
        <v>106</v>
      </c>
      <c r="N108" s="290" t="s">
        <v>1204</v>
      </c>
      <c r="O108" s="291" t="s">
        <v>1205</v>
      </c>
      <c r="Q108" s="292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0" t="s">
        <v>1204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0" t="s">
        <v>1204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0" t="s">
        <v>1204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66"/>
      <c r="B109" s="266"/>
      <c r="C109" s="266"/>
      <c r="D109" s="282">
        <f>IF(ISNUMBER(SEARCH(ZAKL_DATA!$B$14,E109)),MAX($D$2:D108)+1,0)</f>
        <v>107</v>
      </c>
      <c r="E109" s="295" t="s">
        <v>1206</v>
      </c>
      <c r="F109" s="296">
        <v>2705</v>
      </c>
      <c r="G109" s="297"/>
      <c r="H109" s="298" t="str">
        <f>IFERROR(VLOOKUP(ROWS($H$3:H109),$D$3:$E$204,2,0),"")</f>
        <v>HOŘICE</v>
      </c>
      <c r="I109" s="266"/>
      <c r="J109" s="300" t="s">
        <v>1207</v>
      </c>
      <c r="K109" s="288" t="s">
        <v>1208</v>
      </c>
      <c r="M109" s="289">
        <f>IF(ISNUMBER(SEARCH(ZAKL_DATA!$B$29,N109)),MAX($M$2:M108)+1,0)</f>
        <v>107</v>
      </c>
      <c r="N109" s="290" t="s">
        <v>1209</v>
      </c>
      <c r="O109" s="291" t="s">
        <v>1210</v>
      </c>
      <c r="Q109" s="292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0" t="s">
        <v>1209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0" t="s">
        <v>1209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0" t="s">
        <v>1209</v>
      </c>
      <c r="Z109" t="str">
        <f>IFERROR(VLOOKUP(ROWS($Z$3:Z109),$X$3:$Y$992,2,0),"")</f>
        <v>Poskytování ostatních osobních služeb</v>
      </c>
    </row>
    <row r="110" spans="1:26" ht="12.75" customHeight="1">
      <c r="A110" s="266"/>
      <c r="B110" s="266"/>
      <c r="C110" s="266"/>
      <c r="D110" s="282">
        <f>IF(ISNUMBER(SEARCH(ZAKL_DATA!$B$14,E110)),MAX($D$2:D109)+1,0)</f>
        <v>108</v>
      </c>
      <c r="E110" s="295" t="s">
        <v>1211</v>
      </c>
      <c r="F110" s="296">
        <v>2706</v>
      </c>
      <c r="G110" s="297"/>
      <c r="H110" s="298" t="str">
        <f>IFERROR(VLOOKUP(ROWS($H$3:H110),$D$3:$E$204,2,0),"")</f>
        <v>JAROMĚŘ</v>
      </c>
      <c r="I110" s="266"/>
      <c r="J110" s="300" t="s">
        <v>1212</v>
      </c>
      <c r="K110" s="288" t="s">
        <v>1213</v>
      </c>
      <c r="M110" s="289">
        <f>IF(ISNUMBER(SEARCH(ZAKL_DATA!$B$29,N110)),MAX($M$2:M109)+1,0)</f>
        <v>108</v>
      </c>
      <c r="N110" s="290" t="s">
        <v>1214</v>
      </c>
      <c r="O110" s="291" t="s">
        <v>1215</v>
      </c>
      <c r="Q110" s="292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0" t="s">
        <v>1214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0" t="s">
        <v>1214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0" t="s">
        <v>1214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66"/>
      <c r="B111" s="266"/>
      <c r="C111" s="266"/>
      <c r="D111" s="282">
        <f>IF(ISNUMBER(SEARCH(ZAKL_DATA!$B$14,E111)),MAX($D$2:D110)+1,0)</f>
        <v>109</v>
      </c>
      <c r="E111" s="295" t="s">
        <v>1216</v>
      </c>
      <c r="F111" s="296">
        <v>2707</v>
      </c>
      <c r="G111" s="297"/>
      <c r="H111" s="298" t="str">
        <f>IFERROR(VLOOKUP(ROWS($H$3:H111),$D$3:$E$204,2,0),"")</f>
        <v>JIČÍN</v>
      </c>
      <c r="I111" s="266"/>
      <c r="J111" s="300" t="s">
        <v>1217</v>
      </c>
      <c r="K111" s="288" t="s">
        <v>1218</v>
      </c>
      <c r="M111" s="289">
        <f>IF(ISNUMBER(SEARCH(ZAKL_DATA!$B$29,N111)),MAX($M$2:M110)+1,0)</f>
        <v>109</v>
      </c>
      <c r="N111" s="290" t="s">
        <v>1219</v>
      </c>
      <c r="O111" s="291" t="s">
        <v>1220</v>
      </c>
      <c r="Q111" s="292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0" t="s">
        <v>1219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0" t="s">
        <v>1219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0" t="s">
        <v>1219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66"/>
      <c r="B112" s="266"/>
      <c r="C112" s="266"/>
      <c r="D112" s="282">
        <f>IF(ISNUMBER(SEARCH(ZAKL_DATA!$B$14,E112)),MAX($D$2:D111)+1,0)</f>
        <v>110</v>
      </c>
      <c r="E112" s="295" t="s">
        <v>1221</v>
      </c>
      <c r="F112" s="296">
        <v>2708</v>
      </c>
      <c r="G112" s="297"/>
      <c r="H112" s="298" t="str">
        <f>IFERROR(VLOOKUP(ROWS($H$3:H112),$D$3:$E$204,2,0),"")</f>
        <v>KOSTELEC NAD ORLICÍ</v>
      </c>
      <c r="I112" s="266"/>
      <c r="J112" s="300" t="s">
        <v>1222</v>
      </c>
      <c r="K112" s="288" t="s">
        <v>1223</v>
      </c>
      <c r="M112" s="289">
        <f>IF(ISNUMBER(SEARCH(ZAKL_DATA!$B$29,N112)),MAX($M$2:M111)+1,0)</f>
        <v>110</v>
      </c>
      <c r="N112" s="290" t="s">
        <v>1224</v>
      </c>
      <c r="O112" s="291" t="s">
        <v>1225</v>
      </c>
      <c r="Q112" s="292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0" t="s">
        <v>1224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0" t="s">
        <v>1224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0" t="s">
        <v>1224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66"/>
      <c r="B113" s="266"/>
      <c r="C113" s="266"/>
      <c r="D113" s="282">
        <f>IF(ISNUMBER(SEARCH(ZAKL_DATA!$B$14,E113)),MAX($D$2:D112)+1,0)</f>
        <v>111</v>
      </c>
      <c r="E113" s="295" t="s">
        <v>1226</v>
      </c>
      <c r="F113" s="296">
        <v>2709</v>
      </c>
      <c r="G113" s="297"/>
      <c r="H113" s="298" t="str">
        <f>IFERROR(VLOOKUP(ROWS($H$3:H113),$D$3:$E$204,2,0),"")</f>
        <v>NÁCHOD</v>
      </c>
      <c r="I113" s="266"/>
      <c r="J113" s="300" t="s">
        <v>1227</v>
      </c>
      <c r="K113" s="288" t="s">
        <v>1228</v>
      </c>
      <c r="M113" s="289">
        <f>IF(ISNUMBER(SEARCH(ZAKL_DATA!$B$29,N113)),MAX($M$2:M112)+1,0)</f>
        <v>111</v>
      </c>
      <c r="N113" s="290" t="s">
        <v>1229</v>
      </c>
      <c r="O113" s="291" t="s">
        <v>1230</v>
      </c>
      <c r="Q113" s="292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0" t="s">
        <v>1229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0" t="s">
        <v>1229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0" t="s">
        <v>1229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66"/>
      <c r="B114" s="266"/>
      <c r="C114" s="266"/>
      <c r="D114" s="282">
        <f>IF(ISNUMBER(SEARCH(ZAKL_DATA!$B$14,E114)),MAX($D$2:D113)+1,0)</f>
        <v>112</v>
      </c>
      <c r="E114" s="295" t="s">
        <v>1231</v>
      </c>
      <c r="F114" s="296">
        <v>2710</v>
      </c>
      <c r="G114" s="297"/>
      <c r="H114" s="298" t="str">
        <f>IFERROR(VLOOKUP(ROWS($H$3:H114),$D$3:$E$204,2,0),"")</f>
        <v>NOVÁ PAKA</v>
      </c>
      <c r="I114" s="266"/>
      <c r="J114" s="300" t="s">
        <v>1232</v>
      </c>
      <c r="K114" s="288" t="s">
        <v>1233</v>
      </c>
      <c r="M114" s="289">
        <f>IF(ISNUMBER(SEARCH(ZAKL_DATA!$B$29,N114)),MAX($M$2:M113)+1,0)</f>
        <v>112</v>
      </c>
      <c r="N114" s="290" t="s">
        <v>1234</v>
      </c>
      <c r="O114" s="291" t="s">
        <v>1235</v>
      </c>
      <c r="Q114" s="292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0" t="s">
        <v>1234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0" t="s">
        <v>1234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0" t="s">
        <v>1234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66"/>
      <c r="B115" s="266"/>
      <c r="C115" s="266"/>
      <c r="D115" s="282">
        <f>IF(ISNUMBER(SEARCH(ZAKL_DATA!$B$14,E115)),MAX($D$2:D114)+1,0)</f>
        <v>113</v>
      </c>
      <c r="E115" s="295" t="s">
        <v>1236</v>
      </c>
      <c r="F115" s="296">
        <v>2711</v>
      </c>
      <c r="G115" s="297"/>
      <c r="H115" s="298" t="str">
        <f>IFERROR(VLOOKUP(ROWS($H$3:H115),$D$3:$E$204,2,0),"")</f>
        <v>NOVÝ BYDŽOV</v>
      </c>
      <c r="I115" s="266"/>
      <c r="J115" s="300" t="s">
        <v>1237</v>
      </c>
      <c r="K115" s="288" t="s">
        <v>1238</v>
      </c>
      <c r="M115" s="289">
        <f>IF(ISNUMBER(SEARCH(ZAKL_DATA!$B$29,N115)),MAX($M$2:M114)+1,0)</f>
        <v>113</v>
      </c>
      <c r="N115" s="290" t="s">
        <v>1239</v>
      </c>
      <c r="O115" s="291" t="s">
        <v>1240</v>
      </c>
      <c r="Q115" s="292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0" t="s">
        <v>1239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0" t="s">
        <v>1239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0" t="s">
        <v>1239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66"/>
      <c r="B116" s="266"/>
      <c r="C116" s="266"/>
      <c r="D116" s="282">
        <f>IF(ISNUMBER(SEARCH(ZAKL_DATA!$B$14,E116)),MAX($D$2:D115)+1,0)</f>
        <v>114</v>
      </c>
      <c r="E116" s="295" t="s">
        <v>1241</v>
      </c>
      <c r="F116" s="296">
        <v>2712</v>
      </c>
      <c r="G116" s="297"/>
      <c r="H116" s="298" t="str">
        <f>IFERROR(VLOOKUP(ROWS($H$3:H116),$D$3:$E$204,2,0),"")</f>
        <v>RYCHNOV NAD KNĚŽ.</v>
      </c>
      <c r="I116" s="266"/>
      <c r="J116" s="300" t="s">
        <v>1242</v>
      </c>
      <c r="K116" s="288" t="s">
        <v>1243</v>
      </c>
      <c r="M116" s="289">
        <f>IF(ISNUMBER(SEARCH(ZAKL_DATA!$B$29,N116)),MAX($M$2:M115)+1,0)</f>
        <v>114</v>
      </c>
      <c r="N116" s="290" t="s">
        <v>1244</v>
      </c>
      <c r="O116" s="291" t="s">
        <v>1245</v>
      </c>
      <c r="Q116" s="292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0" t="s">
        <v>1244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0" t="s">
        <v>1244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0" t="s">
        <v>1244</v>
      </c>
      <c r="Z116" t="str">
        <f>IFERROR(VLOOKUP(ROWS($Z$3:Z116),$X$3:$Y$992,2,0),"")</f>
        <v>Zpracování a konzervování ovoce a zeleniny</v>
      </c>
    </row>
    <row r="117" spans="1:26" ht="12.75" customHeight="1">
      <c r="A117" s="266"/>
      <c r="B117" s="266"/>
      <c r="C117" s="266"/>
      <c r="D117" s="282">
        <f>IF(ISNUMBER(SEARCH(ZAKL_DATA!$B$14,E117)),MAX($D$2:D116)+1,0)</f>
        <v>115</v>
      </c>
      <c r="E117" s="295" t="s">
        <v>1246</v>
      </c>
      <c r="F117" s="296">
        <v>2713</v>
      </c>
      <c r="G117" s="297"/>
      <c r="H117" s="298" t="str">
        <f>IFERROR(VLOOKUP(ROWS($H$3:H117),$D$3:$E$204,2,0),"")</f>
        <v>TRUTNOV</v>
      </c>
      <c r="I117" s="266"/>
      <c r="J117" s="300" t="s">
        <v>1247</v>
      </c>
      <c r="K117" s="288" t="s">
        <v>1248</v>
      </c>
      <c r="M117" s="289">
        <f>IF(ISNUMBER(SEARCH(ZAKL_DATA!$B$29,N117)),MAX($M$2:M116)+1,0)</f>
        <v>115</v>
      </c>
      <c r="N117" s="290" t="s">
        <v>1249</v>
      </c>
      <c r="O117" s="291" t="s">
        <v>1250</v>
      </c>
      <c r="Q117" s="292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0" t="s">
        <v>1249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0" t="s">
        <v>1249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0" t="s">
        <v>1249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66"/>
      <c r="B118" s="266"/>
      <c r="C118" s="266"/>
      <c r="D118" s="282">
        <f>IF(ISNUMBER(SEARCH(ZAKL_DATA!$B$14,E118)),MAX($D$2:D117)+1,0)</f>
        <v>116</v>
      </c>
      <c r="E118" s="295" t="s">
        <v>1251</v>
      </c>
      <c r="F118" s="296">
        <v>2714</v>
      </c>
      <c r="G118" s="297"/>
      <c r="H118" s="298" t="str">
        <f>IFERROR(VLOOKUP(ROWS($H$3:H118),$D$3:$E$204,2,0),"")</f>
        <v>VRCHLABÍ</v>
      </c>
      <c r="I118" s="266"/>
      <c r="J118" s="300" t="s">
        <v>1252</v>
      </c>
      <c r="K118" s="288" t="s">
        <v>1253</v>
      </c>
      <c r="M118" s="289">
        <f>IF(ISNUMBER(SEARCH(ZAKL_DATA!$B$29,N118)),MAX($M$2:M117)+1,0)</f>
        <v>116</v>
      </c>
      <c r="N118" s="290" t="s">
        <v>1254</v>
      </c>
      <c r="O118" s="291" t="s">
        <v>1255</v>
      </c>
      <c r="Q118" s="292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0" t="s">
        <v>1254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0" t="s">
        <v>1254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0" t="s">
        <v>1254</v>
      </c>
      <c r="Z118" t="str">
        <f>IFERROR(VLOOKUP(ROWS($Z$3:Z118),$X$3:$Y$992,2,0),"")</f>
        <v>Výroba mléčných výrobků</v>
      </c>
    </row>
    <row r="119" spans="1:26" ht="12.75" customHeight="1">
      <c r="A119" s="266"/>
      <c r="B119" s="266"/>
      <c r="C119" s="266"/>
      <c r="D119" s="282">
        <f>IF(ISNUMBER(SEARCH(ZAKL_DATA!$B$14,E119)),MAX($D$2:D118)+1,0)</f>
        <v>117</v>
      </c>
      <c r="E119" s="295" t="s">
        <v>1256</v>
      </c>
      <c r="F119" s="296">
        <v>2801</v>
      </c>
      <c r="G119" s="297"/>
      <c r="H119" s="298" t="str">
        <f>IFERROR(VLOOKUP(ROWS($H$3:H119),$D$3:$E$204,2,0),"")</f>
        <v>PARDUBICE</v>
      </c>
      <c r="I119" s="266"/>
      <c r="J119" s="300" t="s">
        <v>1257</v>
      </c>
      <c r="K119" s="288" t="s">
        <v>1258</v>
      </c>
      <c r="M119" s="289">
        <f>IF(ISNUMBER(SEARCH(ZAKL_DATA!$B$29,N119)),MAX($M$2:M118)+1,0)</f>
        <v>117</v>
      </c>
      <c r="N119" s="290" t="s">
        <v>1259</v>
      </c>
      <c r="O119" s="291" t="s">
        <v>1260</v>
      </c>
      <c r="Q119" s="292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0" t="s">
        <v>1259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0" t="s">
        <v>1259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0" t="s">
        <v>1259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66"/>
      <c r="B120" s="266"/>
      <c r="C120" s="266"/>
      <c r="D120" s="282">
        <f>IF(ISNUMBER(SEARCH(ZAKL_DATA!$B$14,E120)),MAX($D$2:D119)+1,0)</f>
        <v>118</v>
      </c>
      <c r="E120" s="295" t="s">
        <v>1261</v>
      </c>
      <c r="F120" s="296">
        <v>2802</v>
      </c>
      <c r="G120" s="297"/>
      <c r="H120" s="298" t="str">
        <f>IFERROR(VLOOKUP(ROWS($H$3:H120),$D$3:$E$204,2,0),"")</f>
        <v>HLINSKO</v>
      </c>
      <c r="I120" s="266"/>
      <c r="J120" s="300" t="s">
        <v>1262</v>
      </c>
      <c r="K120" s="288" t="s">
        <v>1263</v>
      </c>
      <c r="M120" s="289">
        <f>IF(ISNUMBER(SEARCH(ZAKL_DATA!$B$29,N120)),MAX($M$2:M119)+1,0)</f>
        <v>118</v>
      </c>
      <c r="N120" s="290" t="s">
        <v>1264</v>
      </c>
      <c r="O120" s="291" t="s">
        <v>1265</v>
      </c>
      <c r="Q120" s="292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0" t="s">
        <v>1264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0" t="s">
        <v>1264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0" t="s">
        <v>1264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66"/>
      <c r="B121" s="266"/>
      <c r="C121" s="266"/>
      <c r="D121" s="282">
        <f>IF(ISNUMBER(SEARCH(ZAKL_DATA!$B$14,E121)),MAX($D$2:D120)+1,0)</f>
        <v>119</v>
      </c>
      <c r="E121" s="295" t="s">
        <v>1266</v>
      </c>
      <c r="F121" s="296">
        <v>2803</v>
      </c>
      <c r="G121" s="297"/>
      <c r="H121" s="298" t="str">
        <f>IFERROR(VLOOKUP(ROWS($H$3:H121),$D$3:$E$204,2,0),"")</f>
        <v>HOLICE</v>
      </c>
      <c r="I121" s="266"/>
      <c r="J121" s="300" t="s">
        <v>1267</v>
      </c>
      <c r="K121" s="288" t="s">
        <v>1268</v>
      </c>
      <c r="M121" s="289">
        <f>IF(ISNUMBER(SEARCH(ZAKL_DATA!$B$29,N121)),MAX($M$2:M120)+1,0)</f>
        <v>119</v>
      </c>
      <c r="N121" s="290" t="s">
        <v>1269</v>
      </c>
      <c r="O121" s="291" t="s">
        <v>1270</v>
      </c>
      <c r="Q121" s="292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0" t="s">
        <v>1269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0" t="s">
        <v>1269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0" t="s">
        <v>1269</v>
      </c>
      <c r="Z121" t="str">
        <f>IFERROR(VLOOKUP(ROWS($Z$3:Z121),$X$3:$Y$992,2,0),"")</f>
        <v>Výroba ostatních potravinářských výrobků</v>
      </c>
    </row>
    <row r="122" spans="1:26" ht="12.75" customHeight="1">
      <c r="A122" s="266"/>
      <c r="B122" s="266"/>
      <c r="C122" s="266"/>
      <c r="D122" s="282">
        <f>IF(ISNUMBER(SEARCH(ZAKL_DATA!$B$14,E122)),MAX($D$2:D121)+1,0)</f>
        <v>120</v>
      </c>
      <c r="E122" s="295" t="s">
        <v>1271</v>
      </c>
      <c r="F122" s="296">
        <v>2804</v>
      </c>
      <c r="G122" s="297"/>
      <c r="H122" s="298" t="str">
        <f>IFERROR(VLOOKUP(ROWS($H$3:H122),$D$3:$E$204,2,0),"")</f>
        <v>CHRUDIM</v>
      </c>
      <c r="I122" s="266"/>
      <c r="J122" s="300" t="s">
        <v>1272</v>
      </c>
      <c r="K122" s="288" t="s">
        <v>1273</v>
      </c>
      <c r="M122" s="289">
        <f>IF(ISNUMBER(SEARCH(ZAKL_DATA!$B$29,N122)),MAX($M$2:M121)+1,0)</f>
        <v>120</v>
      </c>
      <c r="N122" s="290" t="s">
        <v>1274</v>
      </c>
      <c r="O122" s="291" t="s">
        <v>1275</v>
      </c>
      <c r="Q122" s="292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0" t="s">
        <v>1274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0" t="s">
        <v>1274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0" t="s">
        <v>1274</v>
      </c>
      <c r="Z122" t="str">
        <f>IFERROR(VLOOKUP(ROWS($Z$3:Z122),$X$3:$Y$992,2,0),"")</f>
        <v>Výroba průmyslových krmiv</v>
      </c>
    </row>
    <row r="123" spans="1:26" ht="12.75" customHeight="1">
      <c r="A123" s="266"/>
      <c r="B123" s="266"/>
      <c r="C123" s="266"/>
      <c r="D123" s="282">
        <f>IF(ISNUMBER(SEARCH(ZAKL_DATA!$B$14,E123)),MAX($D$2:D122)+1,0)</f>
        <v>121</v>
      </c>
      <c r="E123" s="295" t="s">
        <v>1276</v>
      </c>
      <c r="F123" s="296">
        <v>2805</v>
      </c>
      <c r="G123" s="297"/>
      <c r="H123" s="298" t="str">
        <f>IFERROR(VLOOKUP(ROWS($H$3:H123),$D$3:$E$204,2,0),"")</f>
        <v>LITOMYŠL</v>
      </c>
      <c r="I123" s="266"/>
      <c r="J123" s="300" t="s">
        <v>1277</v>
      </c>
      <c r="K123" s="288" t="s">
        <v>1278</v>
      </c>
      <c r="M123" s="289">
        <f>IF(ISNUMBER(SEARCH(ZAKL_DATA!$B$29,N123)),MAX($M$2:M122)+1,0)</f>
        <v>121</v>
      </c>
      <c r="N123" s="290" t="s">
        <v>1279</v>
      </c>
      <c r="O123" s="305" t="s">
        <v>1280</v>
      </c>
      <c r="Q123" s="292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0" t="s">
        <v>1279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0" t="s">
        <v>1279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0" t="s">
        <v>1279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66"/>
      <c r="B124" s="266"/>
      <c r="C124" s="266"/>
      <c r="D124" s="282">
        <f>IF(ISNUMBER(SEARCH(ZAKL_DATA!$B$14,E124)),MAX($D$2:D123)+1,0)</f>
        <v>122</v>
      </c>
      <c r="E124" s="295" t="s">
        <v>1281</v>
      </c>
      <c r="F124" s="296">
        <v>2806</v>
      </c>
      <c r="G124" s="297"/>
      <c r="H124" s="298" t="str">
        <f>IFERROR(VLOOKUP(ROWS($H$3:H124),$D$3:$E$204,2,0),"")</f>
        <v>MORAVSKÁ TŘEBOVÁ</v>
      </c>
      <c r="I124" s="266"/>
      <c r="J124" s="306" t="s">
        <v>1282</v>
      </c>
      <c r="K124" s="307" t="s">
        <v>1283</v>
      </c>
      <c r="M124" s="289">
        <f>IF(ISNUMBER(SEARCH(ZAKL_DATA!$B$29,N124)),MAX($M$2:M123)+1,0)</f>
        <v>122</v>
      </c>
      <c r="N124" s="290" t="s">
        <v>1284</v>
      </c>
      <c r="O124" s="305" t="s">
        <v>1285</v>
      </c>
      <c r="Q124" s="292" t="str">
        <f>IFERROR(VLOOKUP(ROWS($Q$3:Q124),$M$3:$N$992,2,0),"")</f>
        <v>Pěstování rýže</v>
      </c>
      <c r="R124">
        <f>IF(ISNUMBER(SEARCH('1Př1'!$A$32,N124)),MAX($M$2:M123)+1,0)</f>
        <v>122</v>
      </c>
      <c r="S124" s="290" t="s">
        <v>1284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0" t="s">
        <v>1284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0" t="s">
        <v>1284</v>
      </c>
      <c r="Z124" t="str">
        <f>IFERROR(VLOOKUP(ROWS($Z$3:Z124),$X$3:$Y$992,2,0),"")</f>
        <v>Pěstování rýže</v>
      </c>
    </row>
    <row r="125" spans="1:26" ht="12.75" customHeight="1">
      <c r="A125" s="266"/>
      <c r="B125" s="266"/>
      <c r="C125" s="266"/>
      <c r="D125" s="282">
        <f>IF(ISNUMBER(SEARCH(ZAKL_DATA!$B$14,E125)),MAX($D$2:D124)+1,0)</f>
        <v>123</v>
      </c>
      <c r="E125" s="295" t="s">
        <v>1286</v>
      </c>
      <c r="F125" s="296">
        <v>2807</v>
      </c>
      <c r="G125" s="297"/>
      <c r="H125" s="298" t="str">
        <f>IFERROR(VLOOKUP(ROWS($H$3:H125),$D$3:$E$204,2,0),"")</f>
        <v>PŘELOUČ</v>
      </c>
      <c r="I125" s="266"/>
      <c r="J125" s="300" t="s">
        <v>1287</v>
      </c>
      <c r="K125" s="288" t="s">
        <v>1288</v>
      </c>
      <c r="M125" s="289">
        <f>IF(ISNUMBER(SEARCH(ZAKL_DATA!$B$29,N125)),MAX($M$2:M124)+1,0)</f>
        <v>123</v>
      </c>
      <c r="N125" s="290" t="s">
        <v>1289</v>
      </c>
      <c r="O125" s="305" t="s">
        <v>1290</v>
      </c>
      <c r="Q125" s="292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0" t="s">
        <v>1289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0" t="s">
        <v>1289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0" t="s">
        <v>1289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66"/>
      <c r="B126" s="266"/>
      <c r="C126" s="266"/>
      <c r="D126" s="282">
        <f>IF(ISNUMBER(SEARCH(ZAKL_DATA!$B$14,E126)),MAX($D$2:D125)+1,0)</f>
        <v>124</v>
      </c>
      <c r="E126" s="295" t="s">
        <v>1291</v>
      </c>
      <c r="F126" s="296">
        <v>2808</v>
      </c>
      <c r="G126" s="297"/>
      <c r="H126" s="298" t="str">
        <f>IFERROR(VLOOKUP(ROWS($H$3:H126),$D$3:$E$204,2,0),"")</f>
        <v>SVITAVY</v>
      </c>
      <c r="I126" s="266"/>
      <c r="J126" s="300" t="s">
        <v>1292</v>
      </c>
      <c r="K126" s="288" t="s">
        <v>1293</v>
      </c>
      <c r="M126" s="289">
        <f>IF(ISNUMBER(SEARCH(ZAKL_DATA!$B$29,N126)),MAX($M$2:M125)+1,0)</f>
        <v>124</v>
      </c>
      <c r="N126" s="290" t="s">
        <v>1294</v>
      </c>
      <c r="O126" s="305" t="s">
        <v>1295</v>
      </c>
      <c r="Q126" s="292" t="str">
        <f>IFERROR(VLOOKUP(ROWS($Q$3:Q126),$M$3:$N$992,2,0),"")</f>
        <v>Pěstování tabáku</v>
      </c>
      <c r="R126">
        <f>IF(ISNUMBER(SEARCH('1Př1'!$A$32,N126)),MAX($M$2:M125)+1,0)</f>
        <v>124</v>
      </c>
      <c r="S126" s="290" t="s">
        <v>1294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0" t="s">
        <v>1294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0" t="s">
        <v>1294</v>
      </c>
      <c r="Z126" t="str">
        <f>IFERROR(VLOOKUP(ROWS($Z$3:Z126),$X$3:$Y$992,2,0),"")</f>
        <v>Pěstování tabáku</v>
      </c>
    </row>
    <row r="127" spans="1:26" ht="12.75" customHeight="1">
      <c r="A127" s="266"/>
      <c r="B127" s="266"/>
      <c r="C127" s="266"/>
      <c r="D127" s="282">
        <f>IF(ISNUMBER(SEARCH(ZAKL_DATA!$B$14,E127)),MAX($D$2:D126)+1,0)</f>
        <v>125</v>
      </c>
      <c r="E127" s="295" t="s">
        <v>1296</v>
      </c>
      <c r="F127" s="296">
        <v>2809</v>
      </c>
      <c r="G127" s="297"/>
      <c r="H127" s="298" t="str">
        <f>IFERROR(VLOOKUP(ROWS($H$3:H127),$D$3:$E$204,2,0),"")</f>
        <v>ÚSTÍ NAD ORLICÍ</v>
      </c>
      <c r="I127" s="266"/>
      <c r="J127" s="300" t="s">
        <v>1297</v>
      </c>
      <c r="K127" s="288" t="s">
        <v>1298</v>
      </c>
      <c r="M127" s="289">
        <f>IF(ISNUMBER(SEARCH(ZAKL_DATA!$B$29,N127)),MAX($M$2:M126)+1,0)</f>
        <v>125</v>
      </c>
      <c r="N127" s="290" t="s">
        <v>1299</v>
      </c>
      <c r="O127" s="305" t="s">
        <v>1300</v>
      </c>
      <c r="Q127" s="292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0" t="s">
        <v>1299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0" t="s">
        <v>1299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0" t="s">
        <v>1299</v>
      </c>
      <c r="Z127" t="str">
        <f>IFERROR(VLOOKUP(ROWS($Z$3:Z127),$X$3:$Y$992,2,0),"")</f>
        <v>Pěstování přadných rostlin</v>
      </c>
    </row>
    <row r="128" spans="1:26" ht="12.75" customHeight="1">
      <c r="A128" s="266"/>
      <c r="B128" s="266"/>
      <c r="C128" s="266"/>
      <c r="D128" s="282">
        <f>IF(ISNUMBER(SEARCH(ZAKL_DATA!$B$14,E128)),MAX($D$2:D127)+1,0)</f>
        <v>126</v>
      </c>
      <c r="E128" s="295" t="s">
        <v>1301</v>
      </c>
      <c r="F128" s="296">
        <v>2810</v>
      </c>
      <c r="G128" s="297"/>
      <c r="H128" s="298" t="str">
        <f>IFERROR(VLOOKUP(ROWS($H$3:H128),$D$3:$E$204,2,0),"")</f>
        <v>VYSOKÉ MÝTO</v>
      </c>
      <c r="I128" s="266"/>
      <c r="J128" s="300" t="s">
        <v>1302</v>
      </c>
      <c r="K128" s="288" t="s">
        <v>1303</v>
      </c>
      <c r="M128" s="289">
        <f>IF(ISNUMBER(SEARCH(ZAKL_DATA!$B$29,N128)),MAX($M$2:M127)+1,0)</f>
        <v>126</v>
      </c>
      <c r="N128" s="290" t="s">
        <v>1304</v>
      </c>
      <c r="O128" s="305" t="s">
        <v>1305</v>
      </c>
      <c r="Q128" s="292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0" t="s">
        <v>1304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0" t="s">
        <v>1304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0" t="s">
        <v>1304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66"/>
      <c r="B129" s="266"/>
      <c r="C129" s="266"/>
      <c r="D129" s="282">
        <f>IF(ISNUMBER(SEARCH(ZAKL_DATA!$B$14,E129)),MAX($D$2:D128)+1,0)</f>
        <v>127</v>
      </c>
      <c r="E129" s="295" t="s">
        <v>1306</v>
      </c>
      <c r="F129" s="296">
        <v>2811</v>
      </c>
      <c r="G129" s="297"/>
      <c r="H129" s="298" t="str">
        <f>IFERROR(VLOOKUP(ROWS($H$3:H129),$D$3:$E$204,2,0),"")</f>
        <v>ŽAMBERK</v>
      </c>
      <c r="I129" s="266"/>
      <c r="J129" s="300" t="s">
        <v>1307</v>
      </c>
      <c r="K129" s="288" t="s">
        <v>1308</v>
      </c>
      <c r="M129" s="289">
        <f>IF(ISNUMBER(SEARCH(ZAKL_DATA!$B$29,N129)),MAX($M$2:M128)+1,0)</f>
        <v>127</v>
      </c>
      <c r="N129" s="290" t="s">
        <v>1309</v>
      </c>
      <c r="O129" s="305" t="s">
        <v>1310</v>
      </c>
      <c r="Q129" s="292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0" t="s">
        <v>1309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0" t="s">
        <v>1309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0" t="s">
        <v>1309</v>
      </c>
      <c r="Z129" t="str">
        <f>IFERROR(VLOOKUP(ROWS($Z$3:Z129),$X$3:$Y$992,2,0),"")</f>
        <v>Pěstování vinných hroznů</v>
      </c>
    </row>
    <row r="130" spans="1:26" ht="12.75" customHeight="1">
      <c r="A130" s="266"/>
      <c r="B130" s="266"/>
      <c r="C130" s="266"/>
      <c r="D130" s="282">
        <f>IF(ISNUMBER(SEARCH(ZAKL_DATA!$B$14,E130)),MAX($D$2:D129)+1,0)</f>
        <v>128</v>
      </c>
      <c r="E130" s="295" t="s">
        <v>1311</v>
      </c>
      <c r="F130" s="296">
        <v>2901</v>
      </c>
      <c r="G130" s="297"/>
      <c r="H130" s="298" t="str">
        <f>IFERROR(VLOOKUP(ROWS($H$3:H130),$D$3:$E$204,2,0),"")</f>
        <v>JIHLAVA</v>
      </c>
      <c r="I130" s="266"/>
      <c r="J130" s="300" t="s">
        <v>1312</v>
      </c>
      <c r="K130" s="288" t="s">
        <v>1313</v>
      </c>
      <c r="M130" s="289">
        <f>IF(ISNUMBER(SEARCH(ZAKL_DATA!$B$29,N130)),MAX($M$2:M129)+1,0)</f>
        <v>128</v>
      </c>
      <c r="N130" s="290" t="s">
        <v>1314</v>
      </c>
      <c r="O130" s="305" t="s">
        <v>1315</v>
      </c>
      <c r="Q130" s="292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0" t="s">
        <v>1314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0" t="s">
        <v>1314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0" t="s">
        <v>1314</v>
      </c>
      <c r="Z130" t="str">
        <f>IFERROR(VLOOKUP(ROWS($Z$3:Z130),$X$3:$Y$992,2,0),"")</f>
        <v>Pěstování tropického a subtropického ovoce</v>
      </c>
    </row>
    <row r="131" spans="1:26" ht="12.75" customHeight="1">
      <c r="A131" s="266"/>
      <c r="B131" s="266"/>
      <c r="C131" s="266"/>
      <c r="D131" s="282">
        <f>IF(ISNUMBER(SEARCH(ZAKL_DATA!$B$14,E131)),MAX($D$2:D130)+1,0)</f>
        <v>129</v>
      </c>
      <c r="E131" s="295" t="s">
        <v>1316</v>
      </c>
      <c r="F131" s="296">
        <v>2902</v>
      </c>
      <c r="G131" s="297"/>
      <c r="H131" s="298" t="str">
        <f>IFERROR(VLOOKUP(ROWS($H$3:H131),$D$3:$E$204,2,0),"")</f>
        <v>BYSTŘICE NAD PERN.</v>
      </c>
      <c r="I131" s="266"/>
      <c r="J131" s="300" t="s">
        <v>1317</v>
      </c>
      <c r="K131" s="288" t="s">
        <v>1318</v>
      </c>
      <c r="M131" s="289">
        <f>IF(ISNUMBER(SEARCH(ZAKL_DATA!$B$29,N131)),MAX($M$2:M130)+1,0)</f>
        <v>129</v>
      </c>
      <c r="N131" s="290" t="s">
        <v>1319</v>
      </c>
      <c r="O131" s="305" t="s">
        <v>1320</v>
      </c>
      <c r="Q131" s="292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0" t="s">
        <v>1319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0" t="s">
        <v>1319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0" t="s">
        <v>1319</v>
      </c>
      <c r="Z131" t="str">
        <f>IFERROR(VLOOKUP(ROWS($Z$3:Z131),$X$3:$Y$992,2,0),"")</f>
        <v>Pěstování citrusových plodů</v>
      </c>
    </row>
    <row r="132" spans="1:26" ht="12.75" customHeight="1">
      <c r="A132" s="266"/>
      <c r="B132" s="266"/>
      <c r="C132" s="266"/>
      <c r="D132" s="282">
        <f>IF(ISNUMBER(SEARCH(ZAKL_DATA!$B$14,E132)),MAX($D$2:D131)+1,0)</f>
        <v>130</v>
      </c>
      <c r="E132" s="295" t="s">
        <v>1321</v>
      </c>
      <c r="F132" s="296">
        <v>2903</v>
      </c>
      <c r="G132" s="297"/>
      <c r="H132" s="298" t="str">
        <f>IFERROR(VLOOKUP(ROWS($H$3:H132),$D$3:$E$204,2,0),"")</f>
        <v>HAVLÍČKŮV BROD</v>
      </c>
      <c r="I132" s="266"/>
      <c r="J132" s="300" t="s">
        <v>1322</v>
      </c>
      <c r="K132" s="288" t="s">
        <v>1323</v>
      </c>
      <c r="M132" s="289">
        <f>IF(ISNUMBER(SEARCH(ZAKL_DATA!$B$29,N132)),MAX($M$2:M131)+1,0)</f>
        <v>130</v>
      </c>
      <c r="N132" s="290" t="s">
        <v>1324</v>
      </c>
      <c r="O132" s="305" t="s">
        <v>1325</v>
      </c>
      <c r="Q132" s="292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0" t="s">
        <v>1324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0" t="s">
        <v>1324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0" t="s">
        <v>1324</v>
      </c>
      <c r="Z132" t="str">
        <f>IFERROR(VLOOKUP(ROWS($Z$3:Z132),$X$3:$Y$992,2,0),"")</f>
        <v>Pěstování jádrového a peckového ovoce</v>
      </c>
    </row>
    <row r="133" spans="1:26" ht="12.75" customHeight="1">
      <c r="A133" s="266"/>
      <c r="B133" s="266"/>
      <c r="C133" s="266"/>
      <c r="D133" s="282">
        <f>IF(ISNUMBER(SEARCH(ZAKL_DATA!$B$14,E133)),MAX($D$2:D132)+1,0)</f>
        <v>131</v>
      </c>
      <c r="E133" s="295" t="s">
        <v>1326</v>
      </c>
      <c r="F133" s="296">
        <v>2904</v>
      </c>
      <c r="G133" s="297"/>
      <c r="H133" s="298" t="str">
        <f>IFERROR(VLOOKUP(ROWS($H$3:H133),$D$3:$E$204,2,0),"")</f>
        <v>HUMPOLEC</v>
      </c>
      <c r="I133" s="266"/>
      <c r="J133" s="303" t="s">
        <v>1327</v>
      </c>
      <c r="K133" s="304" t="s">
        <v>1328</v>
      </c>
      <c r="M133" s="289">
        <f>IF(ISNUMBER(SEARCH(ZAKL_DATA!$B$29,N133)),MAX($M$2:M132)+1,0)</f>
        <v>131</v>
      </c>
      <c r="N133" s="290" t="s">
        <v>1329</v>
      </c>
      <c r="O133" s="305" t="s">
        <v>1330</v>
      </c>
      <c r="Q133" s="292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0" t="s">
        <v>1329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0" t="s">
        <v>1329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0" t="s">
        <v>1329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66"/>
      <c r="B134" s="266"/>
      <c r="C134" s="266"/>
      <c r="D134" s="282">
        <f>IF(ISNUMBER(SEARCH(ZAKL_DATA!$B$14,E134)),MAX($D$2:D133)+1,0)</f>
        <v>132</v>
      </c>
      <c r="E134" s="295" t="s">
        <v>1331</v>
      </c>
      <c r="F134" s="296">
        <v>2905</v>
      </c>
      <c r="G134" s="297"/>
      <c r="H134" s="298" t="str">
        <f>IFERROR(VLOOKUP(ROWS($H$3:H134),$D$3:$E$204,2,0),"")</f>
        <v>CHOTĚBOŘ</v>
      </c>
      <c r="I134" s="266"/>
      <c r="J134" s="300" t="s">
        <v>1332</v>
      </c>
      <c r="K134" s="288" t="s">
        <v>1333</v>
      </c>
      <c r="M134" s="289">
        <f>IF(ISNUMBER(SEARCH(ZAKL_DATA!$B$29,N134)),MAX($M$2:M133)+1,0)</f>
        <v>132</v>
      </c>
      <c r="N134" s="290" t="s">
        <v>1334</v>
      </c>
      <c r="O134" s="305" t="s">
        <v>1335</v>
      </c>
      <c r="Q134" s="292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0" t="s">
        <v>1334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0" t="s">
        <v>1334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0" t="s">
        <v>1334</v>
      </c>
      <c r="Z134" t="str">
        <f>IFERROR(VLOOKUP(ROWS($Z$3:Z134),$X$3:$Y$992,2,0),"")</f>
        <v>Pěstování olejnatých plodů</v>
      </c>
    </row>
    <row r="135" spans="1:26" ht="12.75" customHeight="1">
      <c r="A135" s="266"/>
      <c r="B135" s="266"/>
      <c r="C135" s="266"/>
      <c r="D135" s="282">
        <f>IF(ISNUMBER(SEARCH(ZAKL_DATA!$B$14,E135)),MAX($D$2:D134)+1,0)</f>
        <v>133</v>
      </c>
      <c r="E135" s="295" t="s">
        <v>1336</v>
      </c>
      <c r="F135" s="296">
        <v>2906</v>
      </c>
      <c r="G135" s="297"/>
      <c r="H135" s="298" t="str">
        <f>IFERROR(VLOOKUP(ROWS($H$3:H135),$D$3:$E$204,2,0),"")</f>
        <v>LEDEČ NAD SÁZAVOU</v>
      </c>
      <c r="I135" s="266"/>
      <c r="J135" s="299" t="s">
        <v>1337</v>
      </c>
      <c r="K135" s="288" t="s">
        <v>1338</v>
      </c>
      <c r="M135" s="289">
        <f>IF(ISNUMBER(SEARCH(ZAKL_DATA!$B$29,N135)),MAX($M$2:M134)+1,0)</f>
        <v>133</v>
      </c>
      <c r="N135" s="290" t="s">
        <v>1339</v>
      </c>
      <c r="O135" s="305" t="s">
        <v>1340</v>
      </c>
      <c r="Q135" s="292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0" t="s">
        <v>1339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0" t="s">
        <v>1339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0" t="s">
        <v>1339</v>
      </c>
      <c r="Z135" t="str">
        <f>IFERROR(VLOOKUP(ROWS($Z$3:Z135),$X$3:$Y$992,2,0),"")</f>
        <v>Pěstování rostlin pro výrobu nápojů</v>
      </c>
    </row>
    <row r="136" spans="1:26" ht="12.75" customHeight="1">
      <c r="A136" s="266"/>
      <c r="B136" s="266"/>
      <c r="C136" s="266"/>
      <c r="D136" s="282">
        <f>IF(ISNUMBER(SEARCH(ZAKL_DATA!$B$14,E136)),MAX($D$2:D135)+1,0)</f>
        <v>134</v>
      </c>
      <c r="E136" s="295" t="s">
        <v>1341</v>
      </c>
      <c r="F136" s="296">
        <v>2907</v>
      </c>
      <c r="G136" s="297"/>
      <c r="H136" s="298" t="str">
        <f>IFERROR(VLOOKUP(ROWS($H$3:H136),$D$3:$E$204,2,0),"")</f>
        <v>MORAVSKÉ BUDĚJOVICE</v>
      </c>
      <c r="I136" s="266"/>
      <c r="J136" s="300" t="s">
        <v>1342</v>
      </c>
      <c r="K136" s="288" t="s">
        <v>1343</v>
      </c>
      <c r="M136" s="289">
        <f>IF(ISNUMBER(SEARCH(ZAKL_DATA!$B$29,N136)),MAX($M$2:M135)+1,0)</f>
        <v>134</v>
      </c>
      <c r="N136" s="290" t="s">
        <v>1344</v>
      </c>
      <c r="O136" s="305" t="s">
        <v>1345</v>
      </c>
      <c r="Q136" s="292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0" t="s">
        <v>1344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0" t="s">
        <v>1344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0" t="s">
        <v>1344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66"/>
      <c r="B137" s="266"/>
      <c r="C137" s="266"/>
      <c r="D137" s="282">
        <f>IF(ISNUMBER(SEARCH(ZAKL_DATA!$B$14,E137)),MAX($D$2:D136)+1,0)</f>
        <v>135</v>
      </c>
      <c r="E137" s="295" t="s">
        <v>1346</v>
      </c>
      <c r="F137" s="296">
        <v>2908</v>
      </c>
      <c r="G137" s="297"/>
      <c r="H137" s="298" t="str">
        <f>IFERROR(VLOOKUP(ROWS($H$3:H137),$D$3:$E$204,2,0),"")</f>
        <v>NÁMĚŠŤ NAD OSLAVOU</v>
      </c>
      <c r="I137" s="266"/>
      <c r="J137" s="300" t="s">
        <v>1347</v>
      </c>
      <c r="K137" s="288" t="s">
        <v>1348</v>
      </c>
      <c r="M137" s="289">
        <f>IF(ISNUMBER(SEARCH(ZAKL_DATA!$B$29,N137)),MAX($M$2:M136)+1,0)</f>
        <v>135</v>
      </c>
      <c r="N137" s="290" t="s">
        <v>1349</v>
      </c>
      <c r="O137" s="305" t="s">
        <v>1350</v>
      </c>
      <c r="Q137" s="292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0" t="s">
        <v>1349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0" t="s">
        <v>1349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0" t="s">
        <v>1349</v>
      </c>
      <c r="Z137" t="str">
        <f>IFERROR(VLOOKUP(ROWS($Z$3:Z137),$X$3:$Y$992,2,0),"")</f>
        <v>Pěstování ostatních trvalých plodin</v>
      </c>
    </row>
    <row r="138" spans="1:26" ht="12.75" customHeight="1">
      <c r="A138" s="266"/>
      <c r="B138" s="266"/>
      <c r="C138" s="266"/>
      <c r="D138" s="282">
        <f>IF(ISNUMBER(SEARCH(ZAKL_DATA!$B$14,E138)),MAX($D$2:D137)+1,0)</f>
        <v>136</v>
      </c>
      <c r="E138" s="295" t="s">
        <v>1351</v>
      </c>
      <c r="F138" s="296">
        <v>2909</v>
      </c>
      <c r="G138" s="297"/>
      <c r="H138" s="298" t="str">
        <f>IFERROR(VLOOKUP(ROWS($H$3:H138),$D$3:$E$204,2,0),"")</f>
        <v>PACOV</v>
      </c>
      <c r="I138" s="266"/>
      <c r="J138" s="300" t="s">
        <v>1352</v>
      </c>
      <c r="K138" s="288" t="s">
        <v>1353</v>
      </c>
      <c r="M138" s="289">
        <f>IF(ISNUMBER(SEARCH(ZAKL_DATA!$B$29,N138)),MAX($M$2:M137)+1,0)</f>
        <v>136</v>
      </c>
      <c r="N138" s="290" t="s">
        <v>1354</v>
      </c>
      <c r="O138" s="305" t="s">
        <v>1355</v>
      </c>
      <c r="Q138" s="292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0" t="s">
        <v>1354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0" t="s">
        <v>1354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0" t="s">
        <v>1354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66"/>
      <c r="B139" s="266"/>
      <c r="C139" s="266"/>
      <c r="D139" s="282">
        <f>IF(ISNUMBER(SEARCH(ZAKL_DATA!$B$14,E139)),MAX($D$2:D138)+1,0)</f>
        <v>137</v>
      </c>
      <c r="E139" s="295" t="s">
        <v>1356</v>
      </c>
      <c r="F139" s="296">
        <v>2910</v>
      </c>
      <c r="G139" s="297"/>
      <c r="H139" s="298" t="str">
        <f>IFERROR(VLOOKUP(ROWS($H$3:H139),$D$3:$E$204,2,0),"")</f>
        <v>PELHŘIMOV</v>
      </c>
      <c r="I139" s="266"/>
      <c r="J139" s="300" t="s">
        <v>1357</v>
      </c>
      <c r="K139" s="288" t="s">
        <v>1358</v>
      </c>
      <c r="M139" s="289">
        <f>IF(ISNUMBER(SEARCH(ZAKL_DATA!$B$29,N139)),MAX($M$2:M138)+1,0)</f>
        <v>137</v>
      </c>
      <c r="N139" s="290" t="s">
        <v>1359</v>
      </c>
      <c r="O139" s="305" t="s">
        <v>1360</v>
      </c>
      <c r="Q139" s="292" t="str">
        <f>IFERROR(VLOOKUP(ROWS($Q$3:Q139),$M$3:$N$992,2,0),"")</f>
        <v>Tkaní textilií</v>
      </c>
      <c r="R139">
        <f>IF(ISNUMBER(SEARCH('1Př1'!$A$32,N139)),MAX($M$2:M138)+1,0)</f>
        <v>137</v>
      </c>
      <c r="S139" s="290" t="s">
        <v>1359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0" t="s">
        <v>1359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0" t="s">
        <v>1359</v>
      </c>
      <c r="Z139" t="str">
        <f>IFERROR(VLOOKUP(ROWS($Z$3:Z139),$X$3:$Y$992,2,0),"")</f>
        <v>Tkaní textilií</v>
      </c>
    </row>
    <row r="140" spans="1:26" ht="12.75" customHeight="1">
      <c r="A140" s="266"/>
      <c r="B140" s="266"/>
      <c r="C140" s="266"/>
      <c r="D140" s="282">
        <f>IF(ISNUMBER(SEARCH(ZAKL_DATA!$B$14,E140)),MAX($D$2:D139)+1,0)</f>
        <v>138</v>
      </c>
      <c r="E140" s="295" t="s">
        <v>1361</v>
      </c>
      <c r="F140" s="296">
        <v>2911</v>
      </c>
      <c r="G140" s="297"/>
      <c r="H140" s="298" t="str">
        <f>IFERROR(VLOOKUP(ROWS($H$3:H140),$D$3:$E$204,2,0),"")</f>
        <v>TELČ</v>
      </c>
      <c r="I140" s="266"/>
      <c r="J140" s="300" t="s">
        <v>1362</v>
      </c>
      <c r="K140" s="288" t="s">
        <v>1363</v>
      </c>
      <c r="M140" s="289">
        <f>IF(ISNUMBER(SEARCH(ZAKL_DATA!$B$29,N140)),MAX($M$2:M139)+1,0)</f>
        <v>138</v>
      </c>
      <c r="N140" s="290" t="s">
        <v>1364</v>
      </c>
      <c r="O140" s="305" t="s">
        <v>1365</v>
      </c>
      <c r="Q140" s="292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0" t="s">
        <v>1364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0" t="s">
        <v>1364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0" t="s">
        <v>1364</v>
      </c>
      <c r="Z140" t="str">
        <f>IFERROR(VLOOKUP(ROWS($Z$3:Z140),$X$3:$Y$992,2,0),"")</f>
        <v>Konečná úprava textilií</v>
      </c>
    </row>
    <row r="141" spans="1:26" ht="12.75" customHeight="1">
      <c r="A141" s="266"/>
      <c r="B141" s="266"/>
      <c r="C141" s="266"/>
      <c r="D141" s="282">
        <f>IF(ISNUMBER(SEARCH(ZAKL_DATA!$B$14,E141)),MAX($D$2:D140)+1,0)</f>
        <v>139</v>
      </c>
      <c r="E141" s="295" t="s">
        <v>1366</v>
      </c>
      <c r="F141" s="296">
        <v>2912</v>
      </c>
      <c r="G141" s="297"/>
      <c r="H141" s="298" t="str">
        <f>IFERROR(VLOOKUP(ROWS($H$3:H141),$D$3:$E$204,2,0),"")</f>
        <v>TŘEBÍČ</v>
      </c>
      <c r="I141" s="266"/>
      <c r="J141" s="300" t="s">
        <v>1367</v>
      </c>
      <c r="K141" s="288" t="s">
        <v>1368</v>
      </c>
      <c r="M141" s="289">
        <f>IF(ISNUMBER(SEARCH(ZAKL_DATA!$B$29,N141)),MAX($M$2:M140)+1,0)</f>
        <v>139</v>
      </c>
      <c r="N141" s="290" t="s">
        <v>1369</v>
      </c>
      <c r="O141" s="305" t="s">
        <v>1370</v>
      </c>
      <c r="Q141" s="292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0" t="s">
        <v>1369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0" t="s">
        <v>1369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0" t="s">
        <v>1369</v>
      </c>
      <c r="Z141" t="str">
        <f>IFERROR(VLOOKUP(ROWS($Z$3:Z141),$X$3:$Y$992,2,0),"")</f>
        <v>Výroba ostatních textilií</v>
      </c>
    </row>
    <row r="142" spans="1:26" ht="12.75" customHeight="1">
      <c r="A142" s="266"/>
      <c r="B142" s="266"/>
      <c r="C142" s="266"/>
      <c r="D142" s="282">
        <f>IF(ISNUMBER(SEARCH(ZAKL_DATA!$B$14,E142)),MAX($D$2:D141)+1,0)</f>
        <v>140</v>
      </c>
      <c r="E142" s="295" t="s">
        <v>1371</v>
      </c>
      <c r="F142" s="296">
        <v>2913</v>
      </c>
      <c r="G142" s="297"/>
      <c r="H142" s="298" t="str">
        <f>IFERROR(VLOOKUP(ROWS($H$3:H142),$D$3:$E$204,2,0),"")</f>
        <v>VELKÉ MEZIŘÍČÍ</v>
      </c>
      <c r="I142" s="266"/>
      <c r="J142" s="300" t="s">
        <v>1372</v>
      </c>
      <c r="K142" s="288" t="s">
        <v>1373</v>
      </c>
      <c r="M142" s="289">
        <f>IF(ISNUMBER(SEARCH(ZAKL_DATA!$B$29,N142)),MAX($M$2:M141)+1,0)</f>
        <v>140</v>
      </c>
      <c r="N142" s="290" t="s">
        <v>1374</v>
      </c>
      <c r="O142" s="305" t="s">
        <v>762</v>
      </c>
      <c r="Q142" s="292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0" t="s">
        <v>1374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0" t="s">
        <v>1374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0" t="s">
        <v>1374</v>
      </c>
      <c r="Z142" t="str">
        <f>IFERROR(VLOOKUP(ROWS($Z$3:Z142),$X$3:$Y$992,2,0),"")</f>
        <v>Pěstování cukrové třtiny</v>
      </c>
    </row>
    <row r="143" spans="1:26" ht="12.75" customHeight="1">
      <c r="A143" s="266"/>
      <c r="B143" s="266"/>
      <c r="C143" s="266"/>
      <c r="D143" s="282">
        <f>IF(ISNUMBER(SEARCH(ZAKL_DATA!$B$14,E143)),MAX($D$2:D142)+1,0)</f>
        <v>141</v>
      </c>
      <c r="E143" s="295" t="s">
        <v>1375</v>
      </c>
      <c r="F143" s="296">
        <v>2914</v>
      </c>
      <c r="G143" s="297"/>
      <c r="H143" s="298" t="str">
        <f>IFERROR(VLOOKUP(ROWS($H$3:H143),$D$3:$E$204,2,0),"")</f>
        <v>ŽĎÁR NAD SÁZAVOU</v>
      </c>
      <c r="I143" s="266"/>
      <c r="J143" s="300" t="s">
        <v>1376</v>
      </c>
      <c r="K143" s="288" t="s">
        <v>1377</v>
      </c>
      <c r="M143" s="289">
        <f>IF(ISNUMBER(SEARCH(ZAKL_DATA!$B$29,N143)),MAX($M$2:M142)+1,0)</f>
        <v>141</v>
      </c>
      <c r="N143" s="290" t="s">
        <v>1378</v>
      </c>
      <c r="O143" s="305" t="s">
        <v>1379</v>
      </c>
      <c r="Q143" s="292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0" t="s">
        <v>1378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0" t="s">
        <v>1378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0" t="s">
        <v>1378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66"/>
      <c r="B144" s="266"/>
      <c r="C144" s="266"/>
      <c r="D144" s="282">
        <f>IF(ISNUMBER(SEARCH(ZAKL_DATA!$B$14,E144)),MAX($D$2:D143)+1,0)</f>
        <v>142</v>
      </c>
      <c r="E144" s="295" t="s">
        <v>1380</v>
      </c>
      <c r="F144" s="296">
        <v>3001</v>
      </c>
      <c r="G144" s="297"/>
      <c r="H144" s="298" t="str">
        <f>IFERROR(VLOOKUP(ROWS($H$3:H144),$D$3:$E$204,2,0),"")</f>
        <v>BRNO I</v>
      </c>
      <c r="I144" s="266"/>
      <c r="J144" s="300" t="s">
        <v>1381</v>
      </c>
      <c r="K144" s="288" t="s">
        <v>1382</v>
      </c>
      <c r="M144" s="289">
        <f>IF(ISNUMBER(SEARCH(ZAKL_DATA!$B$29,N144)),MAX($M$2:M143)+1,0)</f>
        <v>142</v>
      </c>
      <c r="N144" s="290" t="s">
        <v>1383</v>
      </c>
      <c r="O144" s="305" t="s">
        <v>1384</v>
      </c>
      <c r="Q144" s="292" t="str">
        <f>IFERROR(VLOOKUP(ROWS($Q$3:Q144),$M$3:$N$992,2,0),"")</f>
        <v>Chov mléčného skotu</v>
      </c>
      <c r="R144">
        <f>IF(ISNUMBER(SEARCH('1Př1'!$A$32,N144)),MAX($M$2:M143)+1,0)</f>
        <v>142</v>
      </c>
      <c r="S144" s="290" t="s">
        <v>1383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0" t="s">
        <v>1383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0" t="s">
        <v>1383</v>
      </c>
      <c r="Z144" t="str">
        <f>IFERROR(VLOOKUP(ROWS($Z$3:Z144),$X$3:$Y$992,2,0),"")</f>
        <v>Chov mléčného skotu</v>
      </c>
    </row>
    <row r="145" spans="1:26" ht="12.75" customHeight="1">
      <c r="A145" s="266"/>
      <c r="B145" s="266"/>
      <c r="C145" s="266"/>
      <c r="D145" s="282">
        <f>IF(ISNUMBER(SEARCH(ZAKL_DATA!$B$14,E145)),MAX($D$2:D144)+1,0)</f>
        <v>143</v>
      </c>
      <c r="E145" s="295" t="s">
        <v>1385</v>
      </c>
      <c r="F145" s="296">
        <v>3002</v>
      </c>
      <c r="G145" s="297"/>
      <c r="H145" s="298" t="str">
        <f>IFERROR(VLOOKUP(ROWS($H$3:H145),$D$3:$E$204,2,0),"")</f>
        <v>BRNO II</v>
      </c>
      <c r="I145" s="266"/>
      <c r="J145" s="300" t="s">
        <v>1386</v>
      </c>
      <c r="K145" s="288" t="s">
        <v>1387</v>
      </c>
      <c r="M145" s="289">
        <f>IF(ISNUMBER(SEARCH(ZAKL_DATA!$B$29,N145)),MAX($M$2:M144)+1,0)</f>
        <v>143</v>
      </c>
      <c r="N145" s="290" t="s">
        <v>1388</v>
      </c>
      <c r="O145" s="305" t="s">
        <v>1389</v>
      </c>
      <c r="Q145" s="292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0" t="s">
        <v>1388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0" t="s">
        <v>1388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0" t="s">
        <v>1388</v>
      </c>
      <c r="Z145" t="str">
        <f>IFERROR(VLOOKUP(ROWS($Z$3:Z145),$X$3:$Y$992,2,0),"")</f>
        <v>Výroba kožešinových výrobků</v>
      </c>
    </row>
    <row r="146" spans="1:26" ht="12.75" customHeight="1">
      <c r="A146" s="266"/>
      <c r="B146" s="266"/>
      <c r="C146" s="266"/>
      <c r="D146" s="282">
        <f>IF(ISNUMBER(SEARCH(ZAKL_DATA!$B$14,E146)),MAX($D$2:D145)+1,0)</f>
        <v>144</v>
      </c>
      <c r="E146" s="295" t="s">
        <v>1390</v>
      </c>
      <c r="F146" s="296">
        <v>3003</v>
      </c>
      <c r="G146" s="297"/>
      <c r="H146" s="298" t="str">
        <f>IFERROR(VLOOKUP(ROWS($H$3:H146),$D$3:$E$204,2,0),"")</f>
        <v>BRNO III</v>
      </c>
      <c r="I146" s="266"/>
      <c r="J146" s="300" t="s">
        <v>1391</v>
      </c>
      <c r="K146" s="288" t="s">
        <v>1392</v>
      </c>
      <c r="M146" s="289">
        <f>IF(ISNUMBER(SEARCH(ZAKL_DATA!$B$29,N146)),MAX($M$2:M145)+1,0)</f>
        <v>144</v>
      </c>
      <c r="N146" s="290" t="s">
        <v>1393</v>
      </c>
      <c r="O146" s="305" t="s">
        <v>1394</v>
      </c>
      <c r="Q146" s="292" t="str">
        <f>IFERROR(VLOOKUP(ROWS($Q$3:Q146),$M$3:$N$992,2,0),"")</f>
        <v>Chov jiného skotu</v>
      </c>
      <c r="R146">
        <f>IF(ISNUMBER(SEARCH('1Př1'!$A$32,N146)),MAX($M$2:M145)+1,0)</f>
        <v>144</v>
      </c>
      <c r="S146" s="290" t="s">
        <v>1393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0" t="s">
        <v>1393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0" t="s">
        <v>1393</v>
      </c>
      <c r="Z146" t="str">
        <f>IFERROR(VLOOKUP(ROWS($Z$3:Z146),$X$3:$Y$992,2,0),"")</f>
        <v>Chov jiného skotu</v>
      </c>
    </row>
    <row r="147" spans="1:26" ht="12.75" customHeight="1">
      <c r="A147" s="266"/>
      <c r="B147" s="266"/>
      <c r="C147" s="266"/>
      <c r="D147" s="282">
        <f>IF(ISNUMBER(SEARCH(ZAKL_DATA!$B$14,E147)),MAX($D$2:D146)+1,0)</f>
        <v>145</v>
      </c>
      <c r="E147" s="295" t="s">
        <v>1395</v>
      </c>
      <c r="F147" s="296">
        <v>3004</v>
      </c>
      <c r="G147" s="297"/>
      <c r="H147" s="298" t="str">
        <f>IFERROR(VLOOKUP(ROWS($H$3:H147),$D$3:$E$204,2,0),"")</f>
        <v>BRNO IV</v>
      </c>
      <c r="I147" s="266"/>
      <c r="J147" s="300" t="s">
        <v>1396</v>
      </c>
      <c r="K147" s="288" t="s">
        <v>1397</v>
      </c>
      <c r="M147" s="289">
        <f>IF(ISNUMBER(SEARCH(ZAKL_DATA!$B$29,N147)),MAX($M$2:M146)+1,0)</f>
        <v>145</v>
      </c>
      <c r="N147" s="290" t="s">
        <v>1398</v>
      </c>
      <c r="O147" s="291" t="s">
        <v>1399</v>
      </c>
      <c r="Q147" s="292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0" t="s">
        <v>1398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0" t="s">
        <v>1398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0" t="s">
        <v>1398</v>
      </c>
      <c r="Z147" t="str">
        <f>IFERROR(VLOOKUP(ROWS($Z$3:Z147),$X$3:$Y$992,2,0),"")</f>
        <v>Výroba pletených a háčkovaných oděvů</v>
      </c>
    </row>
    <row r="148" spans="1:26" ht="12.75" customHeight="1">
      <c r="A148" s="266"/>
      <c r="B148" s="266"/>
      <c r="C148" s="266"/>
      <c r="D148" s="282">
        <f>IF(ISNUMBER(SEARCH(ZAKL_DATA!$B$14,E148)),MAX($D$2:D147)+1,0)</f>
        <v>146</v>
      </c>
      <c r="E148" s="295" t="s">
        <v>1400</v>
      </c>
      <c r="F148" s="296">
        <v>3005</v>
      </c>
      <c r="G148" s="297"/>
      <c r="H148" s="298" t="str">
        <f>IFERROR(VLOOKUP(ROWS($H$3:H148),$D$3:$E$204,2,0),"")</f>
        <v>BRNO VENKOV</v>
      </c>
      <c r="I148" s="266"/>
      <c r="J148" s="300" t="s">
        <v>1401</v>
      </c>
      <c r="K148" s="288" t="s">
        <v>1402</v>
      </c>
      <c r="M148" s="289">
        <f>IF(ISNUMBER(SEARCH(ZAKL_DATA!$B$29,N148)),MAX($M$2:M147)+1,0)</f>
        <v>146</v>
      </c>
      <c r="N148" s="290" t="s">
        <v>1403</v>
      </c>
      <c r="O148" s="305" t="s">
        <v>1404</v>
      </c>
      <c r="Q148" s="292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0" t="s">
        <v>1403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0" t="s">
        <v>1403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0" t="s">
        <v>1403</v>
      </c>
      <c r="Z148" t="str">
        <f>IFERROR(VLOOKUP(ROWS($Z$3:Z148),$X$3:$Y$992,2,0),"")</f>
        <v>Chov koní a jiných koňovitých</v>
      </c>
    </row>
    <row r="149" spans="1:26" ht="12.75" customHeight="1">
      <c r="A149" s="266"/>
      <c r="B149" s="266"/>
      <c r="C149" s="266"/>
      <c r="D149" s="282">
        <f>IF(ISNUMBER(SEARCH(ZAKL_DATA!$B$14,E149)),MAX($D$2:D148)+1,0)</f>
        <v>147</v>
      </c>
      <c r="E149" s="295" t="s">
        <v>1405</v>
      </c>
      <c r="F149" s="296">
        <v>3006</v>
      </c>
      <c r="G149" s="297"/>
      <c r="H149" s="298" t="str">
        <f>IFERROR(VLOOKUP(ROWS($H$3:H149),$D$3:$E$204,2,0),"")</f>
        <v>BLANSKO</v>
      </c>
      <c r="I149" s="266"/>
      <c r="J149" s="300" t="s">
        <v>1406</v>
      </c>
      <c r="K149" s="288" t="s">
        <v>1407</v>
      </c>
      <c r="M149" s="289">
        <f>IF(ISNUMBER(SEARCH(ZAKL_DATA!$B$29,N149)),MAX($M$2:M148)+1,0)</f>
        <v>147</v>
      </c>
      <c r="N149" s="290" t="s">
        <v>1408</v>
      </c>
      <c r="O149" s="305" t="s">
        <v>1409</v>
      </c>
      <c r="Q149" s="292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0" t="s">
        <v>1408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0" t="s">
        <v>1408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0" t="s">
        <v>1408</v>
      </c>
      <c r="Z149" t="str">
        <f>IFERROR(VLOOKUP(ROWS($Z$3:Z149),$X$3:$Y$992,2,0),"")</f>
        <v>Chov velbloudů a velbloudovitých</v>
      </c>
    </row>
    <row r="150" spans="1:26" ht="12.75" customHeight="1">
      <c r="A150" s="266"/>
      <c r="B150" s="266"/>
      <c r="C150" s="266"/>
      <c r="D150" s="282">
        <f>IF(ISNUMBER(SEARCH(ZAKL_DATA!$B$14,E150)),MAX($D$2:D149)+1,0)</f>
        <v>148</v>
      </c>
      <c r="E150" s="295" t="s">
        <v>1410</v>
      </c>
      <c r="F150" s="296">
        <v>3007</v>
      </c>
      <c r="G150" s="297"/>
      <c r="H150" s="298" t="str">
        <f>IFERROR(VLOOKUP(ROWS($H$3:H150),$D$3:$E$204,2,0),"")</f>
        <v>BOSKOVICE</v>
      </c>
      <c r="I150" s="266"/>
      <c r="J150" s="300" t="s">
        <v>1411</v>
      </c>
      <c r="K150" s="288" t="s">
        <v>1412</v>
      </c>
      <c r="M150" s="289">
        <f>IF(ISNUMBER(SEARCH(ZAKL_DATA!$B$29,N150)),MAX($M$2:M149)+1,0)</f>
        <v>148</v>
      </c>
      <c r="N150" s="290" t="s">
        <v>1413</v>
      </c>
      <c r="O150" s="305" t="s">
        <v>1414</v>
      </c>
      <c r="Q150" s="292" t="str">
        <f>IFERROR(VLOOKUP(ROWS($Q$3:Q150),$M$3:$N$992,2,0),"")</f>
        <v>Chov ovcí a koz</v>
      </c>
      <c r="R150">
        <f>IF(ISNUMBER(SEARCH('1Př1'!$A$32,N150)),MAX($M$2:M149)+1,0)</f>
        <v>148</v>
      </c>
      <c r="S150" s="290" t="s">
        <v>1413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0" t="s">
        <v>1413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0" t="s">
        <v>1413</v>
      </c>
      <c r="Z150" t="str">
        <f>IFERROR(VLOOKUP(ROWS($Z$3:Z150),$X$3:$Y$992,2,0),"")</f>
        <v>Chov ovcí a koz</v>
      </c>
    </row>
    <row r="151" spans="1:26" ht="12.75" customHeight="1">
      <c r="A151" s="266"/>
      <c r="B151" s="266"/>
      <c r="C151" s="266"/>
      <c r="D151" s="282">
        <f>IF(ISNUMBER(SEARCH(ZAKL_DATA!$B$14,E151)),MAX($D$2:D150)+1,0)</f>
        <v>149</v>
      </c>
      <c r="E151" s="295" t="s">
        <v>1415</v>
      </c>
      <c r="F151" s="296">
        <v>3008</v>
      </c>
      <c r="G151" s="297"/>
      <c r="H151" s="298" t="str">
        <f>IFERROR(VLOOKUP(ROWS($H$3:H151),$D$3:$E$204,2,0),"")</f>
        <v>BŘECLAV</v>
      </c>
      <c r="I151" s="266"/>
      <c r="J151" s="300" t="s">
        <v>1416</v>
      </c>
      <c r="K151" s="288" t="s">
        <v>1417</v>
      </c>
      <c r="M151" s="289">
        <f>IF(ISNUMBER(SEARCH(ZAKL_DATA!$B$29,N151)),MAX($M$2:M150)+1,0)</f>
        <v>149</v>
      </c>
      <c r="N151" s="290" t="s">
        <v>1418</v>
      </c>
      <c r="O151" s="305" t="s">
        <v>1419</v>
      </c>
      <c r="Q151" s="292" t="str">
        <f>IFERROR(VLOOKUP(ROWS($Q$3:Q151),$M$3:$N$992,2,0),"")</f>
        <v>Chov prasat</v>
      </c>
      <c r="R151">
        <f>IF(ISNUMBER(SEARCH('1Př1'!$A$32,N151)),MAX($M$2:M150)+1,0)</f>
        <v>149</v>
      </c>
      <c r="S151" s="290" t="s">
        <v>1418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0" t="s">
        <v>1418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0" t="s">
        <v>1418</v>
      </c>
      <c r="Z151" t="str">
        <f>IFERROR(VLOOKUP(ROWS($Z$3:Z151),$X$3:$Y$992,2,0),"")</f>
        <v>Chov prasat</v>
      </c>
    </row>
    <row r="152" spans="1:26" ht="12.75" customHeight="1">
      <c r="A152" s="266"/>
      <c r="B152" s="266"/>
      <c r="C152" s="266"/>
      <c r="D152" s="282">
        <f>IF(ISNUMBER(SEARCH(ZAKL_DATA!$B$14,E152)),MAX($D$2:D151)+1,0)</f>
        <v>150</v>
      </c>
      <c r="E152" s="295" t="s">
        <v>1420</v>
      </c>
      <c r="F152" s="296">
        <v>3009</v>
      </c>
      <c r="G152" s="297"/>
      <c r="H152" s="298" t="str">
        <f>IFERROR(VLOOKUP(ROWS($H$3:H152),$D$3:$E$204,2,0),"")</f>
        <v>BUČOVICE</v>
      </c>
      <c r="I152" s="266"/>
      <c r="J152" s="300" t="s">
        <v>1421</v>
      </c>
      <c r="K152" s="288" t="s">
        <v>1422</v>
      </c>
      <c r="M152" s="289">
        <f>IF(ISNUMBER(SEARCH(ZAKL_DATA!$B$29,N152)),MAX($M$2:M151)+1,0)</f>
        <v>150</v>
      </c>
      <c r="N152" s="290" t="s">
        <v>1423</v>
      </c>
      <c r="O152" s="305" t="s">
        <v>1424</v>
      </c>
      <c r="Q152" s="292" t="str">
        <f>IFERROR(VLOOKUP(ROWS($Q$3:Q152),$M$3:$N$992,2,0),"")</f>
        <v>Chov drůbeže</v>
      </c>
      <c r="R152">
        <f>IF(ISNUMBER(SEARCH('1Př1'!$A$32,N152)),MAX($M$2:M151)+1,0)</f>
        <v>150</v>
      </c>
      <c r="S152" s="290" t="s">
        <v>1423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0" t="s">
        <v>1423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0" t="s">
        <v>1423</v>
      </c>
      <c r="Z152" t="str">
        <f>IFERROR(VLOOKUP(ROWS($Z$3:Z152),$X$3:$Y$992,2,0),"")</f>
        <v>Chov drůbeže</v>
      </c>
    </row>
    <row r="153" spans="1:26" ht="12.75" customHeight="1">
      <c r="A153" s="266"/>
      <c r="B153" s="266"/>
      <c r="C153" s="266"/>
      <c r="D153" s="282">
        <f>IF(ISNUMBER(SEARCH(ZAKL_DATA!$B$14,E153)),MAX($D$2:D152)+1,0)</f>
        <v>151</v>
      </c>
      <c r="E153" s="295" t="s">
        <v>1425</v>
      </c>
      <c r="F153" s="296">
        <v>3010</v>
      </c>
      <c r="G153" s="297"/>
      <c r="H153" s="298" t="str">
        <f>IFERROR(VLOOKUP(ROWS($H$3:H153),$D$3:$E$204,2,0),"")</f>
        <v>HODONÍN</v>
      </c>
      <c r="I153" s="266"/>
      <c r="J153" s="300" t="s">
        <v>1426</v>
      </c>
      <c r="K153" s="288" t="s">
        <v>1427</v>
      </c>
      <c r="M153" s="289">
        <f>IF(ISNUMBER(SEARCH(ZAKL_DATA!$B$29,N153)),MAX($M$2:M152)+1,0)</f>
        <v>151</v>
      </c>
      <c r="N153" s="290" t="s">
        <v>1428</v>
      </c>
      <c r="O153" s="305" t="s">
        <v>1429</v>
      </c>
      <c r="Q153" s="292" t="str">
        <f>IFERROR(VLOOKUP(ROWS($Q$3:Q153),$M$3:$N$992,2,0),"")</f>
        <v>Chov ostatních zvířat</v>
      </c>
      <c r="R153">
        <f>IF(ISNUMBER(SEARCH('1Př1'!$A$32,N153)),MAX($M$2:M152)+1,0)</f>
        <v>151</v>
      </c>
      <c r="S153" s="290" t="s">
        <v>1428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0" t="s">
        <v>1428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0" t="s">
        <v>1428</v>
      </c>
      <c r="Z153" t="str">
        <f>IFERROR(VLOOKUP(ROWS($Z$3:Z153),$X$3:$Y$992,2,0),"")</f>
        <v>Chov ostatních zvířat</v>
      </c>
    </row>
    <row r="154" spans="1:26" ht="12.75" customHeight="1">
      <c r="A154" s="266"/>
      <c r="B154" s="266"/>
      <c r="C154" s="266"/>
      <c r="D154" s="282">
        <f>IF(ISNUMBER(SEARCH(ZAKL_DATA!$B$14,E154)),MAX($D$2:D153)+1,0)</f>
        <v>152</v>
      </c>
      <c r="E154" s="295" t="s">
        <v>1430</v>
      </c>
      <c r="F154" s="296">
        <v>3011</v>
      </c>
      <c r="G154" s="297"/>
      <c r="H154" s="298" t="str">
        <f>IFERROR(VLOOKUP(ROWS($H$3:H154),$D$3:$E$204,2,0),"")</f>
        <v>HUSTOPEČE</v>
      </c>
      <c r="I154" s="266"/>
      <c r="J154" s="300" t="s">
        <v>1431</v>
      </c>
      <c r="K154" s="288" t="s">
        <v>1432</v>
      </c>
      <c r="M154" s="289">
        <f>IF(ISNUMBER(SEARCH(ZAKL_DATA!$B$29,N154)),MAX($M$2:M153)+1,0)</f>
        <v>152</v>
      </c>
      <c r="N154" s="290" t="s">
        <v>1433</v>
      </c>
      <c r="O154" s="305" t="s">
        <v>1434</v>
      </c>
      <c r="Q154" s="292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0" t="s">
        <v>1433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0" t="s">
        <v>1433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0" t="s">
        <v>1433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66"/>
      <c r="B155" s="266"/>
      <c r="C155" s="266"/>
      <c r="D155" s="282">
        <f>IF(ISNUMBER(SEARCH(ZAKL_DATA!$B$14,E155)),MAX($D$2:D154)+1,0)</f>
        <v>153</v>
      </c>
      <c r="E155" s="295" t="s">
        <v>1435</v>
      </c>
      <c r="F155" s="296">
        <v>3012</v>
      </c>
      <c r="G155" s="297"/>
      <c r="H155" s="298" t="str">
        <f>IFERROR(VLOOKUP(ROWS($H$3:H155),$D$3:$E$204,2,0),"")</f>
        <v>IVANČICE</v>
      </c>
      <c r="I155" s="266"/>
      <c r="J155" s="300" t="s">
        <v>1436</v>
      </c>
      <c r="K155" s="288" t="s">
        <v>1437</v>
      </c>
      <c r="M155" s="289">
        <f>IF(ISNUMBER(SEARCH(ZAKL_DATA!$B$29,N155)),MAX($M$2:M154)+1,0)</f>
        <v>153</v>
      </c>
      <c r="N155" s="290" t="s">
        <v>1438</v>
      </c>
      <c r="O155" s="305" t="s">
        <v>1439</v>
      </c>
      <c r="Q155" s="292" t="str">
        <f>IFERROR(VLOOKUP(ROWS($Q$3:Q155),$M$3:$N$992,2,0),"")</f>
        <v>Výroba obuvi</v>
      </c>
      <c r="R155">
        <f>IF(ISNUMBER(SEARCH('1Př1'!$A$32,N155)),MAX($M$2:M154)+1,0)</f>
        <v>153</v>
      </c>
      <c r="S155" s="290" t="s">
        <v>1438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0" t="s">
        <v>1438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0" t="s">
        <v>1438</v>
      </c>
      <c r="Z155" t="str">
        <f>IFERROR(VLOOKUP(ROWS($Z$3:Z155),$X$3:$Y$992,2,0),"")</f>
        <v>Výroba obuvi</v>
      </c>
    </row>
    <row r="156" spans="1:26" ht="12.75" customHeight="1">
      <c r="A156" s="266"/>
      <c r="B156" s="266"/>
      <c r="C156" s="266"/>
      <c r="D156" s="282">
        <f>IF(ISNUMBER(SEARCH(ZAKL_DATA!$B$14,E156)),MAX($D$2:D155)+1,0)</f>
        <v>154</v>
      </c>
      <c r="E156" s="295" t="s">
        <v>1440</v>
      </c>
      <c r="F156" s="296">
        <v>3013</v>
      </c>
      <c r="G156" s="297"/>
      <c r="H156" s="298" t="str">
        <f>IFERROR(VLOOKUP(ROWS($H$3:H156),$D$3:$E$204,2,0),"")</f>
        <v>KYJOV</v>
      </c>
      <c r="I156" s="266"/>
      <c r="J156" s="300" t="s">
        <v>1441</v>
      </c>
      <c r="K156" s="288" t="s">
        <v>1442</v>
      </c>
      <c r="M156" s="289">
        <f>IF(ISNUMBER(SEARCH(ZAKL_DATA!$B$29,N156)),MAX($M$2:M155)+1,0)</f>
        <v>154</v>
      </c>
      <c r="N156" s="290" t="s">
        <v>1443</v>
      </c>
      <c r="O156" s="305" t="s">
        <v>1444</v>
      </c>
      <c r="Q156" s="292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0" t="s">
        <v>1443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0" t="s">
        <v>1443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0" t="s">
        <v>1443</v>
      </c>
      <c r="Z156" t="str">
        <f>IFERROR(VLOOKUP(ROWS($Z$3:Z156),$X$3:$Y$992,2,0),"")</f>
        <v>Výroba pilařská a impregnace dřeva</v>
      </c>
    </row>
    <row r="157" spans="1:26" ht="12.75" customHeight="1">
      <c r="A157" s="266"/>
      <c r="B157" s="266"/>
      <c r="C157" s="266"/>
      <c r="D157" s="282">
        <f>IF(ISNUMBER(SEARCH(ZAKL_DATA!$B$14,E157)),MAX($D$2:D156)+1,0)</f>
        <v>155</v>
      </c>
      <c r="E157" s="295" t="s">
        <v>1445</v>
      </c>
      <c r="F157" s="296">
        <v>3014</v>
      </c>
      <c r="G157" s="297"/>
      <c r="H157" s="298" t="str">
        <f>IFERROR(VLOOKUP(ROWS($H$3:H157),$D$3:$E$204,2,0),"")</f>
        <v>MIKULOV</v>
      </c>
      <c r="I157" s="266"/>
      <c r="J157" s="300" t="s">
        <v>1446</v>
      </c>
      <c r="K157" s="288" t="s">
        <v>1447</v>
      </c>
      <c r="M157" s="289">
        <f>IF(ISNUMBER(SEARCH(ZAKL_DATA!$B$29,N157)),MAX($M$2:M156)+1,0)</f>
        <v>155</v>
      </c>
      <c r="N157" s="290" t="s">
        <v>1448</v>
      </c>
      <c r="O157" s="305" t="s">
        <v>1449</v>
      </c>
      <c r="Q157" s="292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0" t="s">
        <v>1448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0" t="s">
        <v>1448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0" t="s">
        <v>1448</v>
      </c>
      <c r="Z157" t="str">
        <f>IFERROR(VLOOKUP(ROWS($Z$3:Z157),$X$3:$Y$992,2,0),"")</f>
        <v>Podpůrné činnosti pro rostlinnou výrobu</v>
      </c>
    </row>
    <row r="158" spans="1:26" ht="12.75" customHeight="1">
      <c r="A158" s="266"/>
      <c r="B158" s="266"/>
      <c r="C158" s="266"/>
      <c r="D158" s="282">
        <f>IF(ISNUMBER(SEARCH(ZAKL_DATA!$B$14,E158)),MAX($D$2:D157)+1,0)</f>
        <v>156</v>
      </c>
      <c r="E158" s="295" t="s">
        <v>1450</v>
      </c>
      <c r="F158" s="296">
        <v>3015</v>
      </c>
      <c r="G158" s="297"/>
      <c r="H158" s="298" t="str">
        <f>IFERROR(VLOOKUP(ROWS($H$3:H158),$D$3:$E$204,2,0),"")</f>
        <v>MORAVSKÝ KRUMLOV</v>
      </c>
      <c r="I158" s="266"/>
      <c r="J158" s="300" t="s">
        <v>1451</v>
      </c>
      <c r="K158" s="288" t="s">
        <v>1452</v>
      </c>
      <c r="M158" s="289">
        <f>IF(ISNUMBER(SEARCH(ZAKL_DATA!$B$29,N158)),MAX($M$2:M157)+1,0)</f>
        <v>156</v>
      </c>
      <c r="N158" s="290" t="s">
        <v>1453</v>
      </c>
      <c r="O158" s="305" t="s">
        <v>1454</v>
      </c>
      <c r="Q158" s="292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0" t="s">
        <v>1453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0" t="s">
        <v>1453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0" t="s">
        <v>1453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66"/>
      <c r="B159" s="266"/>
      <c r="C159" s="266"/>
      <c r="D159" s="282">
        <f>IF(ISNUMBER(SEARCH(ZAKL_DATA!$B$14,E159)),MAX($D$2:D158)+1,0)</f>
        <v>157</v>
      </c>
      <c r="E159" s="295" t="s">
        <v>1455</v>
      </c>
      <c r="F159" s="296">
        <v>3016</v>
      </c>
      <c r="G159" s="297"/>
      <c r="H159" s="298" t="str">
        <f>IFERROR(VLOOKUP(ROWS($H$3:H159),$D$3:$E$204,2,0),"")</f>
        <v>SLAVKOV U BRNA</v>
      </c>
      <c r="I159" s="266"/>
      <c r="J159" s="300" t="s">
        <v>1456</v>
      </c>
      <c r="K159" s="288" t="s">
        <v>1457</v>
      </c>
      <c r="M159" s="289">
        <f>IF(ISNUMBER(SEARCH(ZAKL_DATA!$B$29,N159)),MAX($M$2:M158)+1,0)</f>
        <v>157</v>
      </c>
      <c r="N159" s="290" t="s">
        <v>1458</v>
      </c>
      <c r="O159" s="305" t="s">
        <v>1459</v>
      </c>
      <c r="Q159" s="292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0" t="s">
        <v>1458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0" t="s">
        <v>1458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0" t="s">
        <v>1458</v>
      </c>
      <c r="Z159" t="str">
        <f>IFERROR(VLOOKUP(ROWS($Z$3:Z159),$X$3:$Y$992,2,0),"")</f>
        <v>Podpůrné činnosti pro živočišnou výrobu</v>
      </c>
    </row>
    <row r="160" spans="1:26" ht="12.75" customHeight="1">
      <c r="A160" s="266"/>
      <c r="B160" s="266"/>
      <c r="C160" s="266"/>
      <c r="D160" s="282">
        <f>IF(ISNUMBER(SEARCH(ZAKL_DATA!$B$14,E160)),MAX($D$2:D159)+1,0)</f>
        <v>158</v>
      </c>
      <c r="E160" s="295" t="s">
        <v>1460</v>
      </c>
      <c r="F160" s="296">
        <v>3017</v>
      </c>
      <c r="G160" s="297"/>
      <c r="H160" s="298" t="str">
        <f>IFERROR(VLOOKUP(ROWS($H$3:H160),$D$3:$E$204,2,0),"")</f>
        <v>TIŠNOV</v>
      </c>
      <c r="I160" s="266"/>
      <c r="J160" s="300" t="s">
        <v>1461</v>
      </c>
      <c r="K160" s="288" t="s">
        <v>1462</v>
      </c>
      <c r="M160" s="289">
        <f>IF(ISNUMBER(SEARCH(ZAKL_DATA!$B$29,N160)),MAX($M$2:M159)+1,0)</f>
        <v>158</v>
      </c>
      <c r="N160" s="290" t="s">
        <v>1463</v>
      </c>
      <c r="O160" s="305" t="s">
        <v>1464</v>
      </c>
      <c r="Q160" s="292" t="str">
        <f>IFERROR(VLOOKUP(ROWS($Q$3:Q160),$M$3:$N$992,2,0),"")</f>
        <v>Posklizňové činnosti</v>
      </c>
      <c r="R160">
        <f>IF(ISNUMBER(SEARCH('1Př1'!$A$32,N160)),MAX($M$2:M159)+1,0)</f>
        <v>158</v>
      </c>
      <c r="S160" s="290" t="s">
        <v>1463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0" t="s">
        <v>1463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0" t="s">
        <v>1463</v>
      </c>
      <c r="Z160" t="str">
        <f>IFERROR(VLOOKUP(ROWS($Z$3:Z160),$X$3:$Y$992,2,0),"")</f>
        <v>Posklizňové činnosti</v>
      </c>
    </row>
    <row r="161" spans="1:26" ht="12.75" customHeight="1">
      <c r="A161" s="266"/>
      <c r="B161" s="266"/>
      <c r="C161" s="266"/>
      <c r="D161" s="282">
        <f>IF(ISNUMBER(SEARCH(ZAKL_DATA!$B$14,E161)),MAX($D$2:D160)+1,0)</f>
        <v>159</v>
      </c>
      <c r="E161" s="295" t="s">
        <v>1465</v>
      </c>
      <c r="F161" s="296">
        <v>3018</v>
      </c>
      <c r="G161" s="297"/>
      <c r="H161" s="298" t="str">
        <f>IFERROR(VLOOKUP(ROWS($H$3:H161),$D$3:$E$204,2,0),"")</f>
        <v>VESELÍ NAD MORAVOU</v>
      </c>
      <c r="I161" s="266"/>
      <c r="J161" s="299" t="s">
        <v>1466</v>
      </c>
      <c r="K161" s="288" t="s">
        <v>1467</v>
      </c>
      <c r="M161" s="289">
        <f>IF(ISNUMBER(SEARCH(ZAKL_DATA!$B$29,N161)),MAX($M$2:M160)+1,0)</f>
        <v>159</v>
      </c>
      <c r="N161" s="290" t="s">
        <v>1468</v>
      </c>
      <c r="O161" s="305" t="s">
        <v>1469</v>
      </c>
      <c r="Q161" s="292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0" t="s">
        <v>1468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0" t="s">
        <v>1468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0" t="s">
        <v>1468</v>
      </c>
      <c r="Z161" t="str">
        <f>IFERROR(VLOOKUP(ROWS($Z$3:Z161),$X$3:$Y$992,2,0),"")</f>
        <v>Zpracování osiva pro účely množení</v>
      </c>
    </row>
    <row r="162" spans="1:26" ht="12.75" customHeight="1">
      <c r="A162" s="266"/>
      <c r="B162" s="266"/>
      <c r="C162" s="266"/>
      <c r="D162" s="282">
        <f>IF(ISNUMBER(SEARCH(ZAKL_DATA!$B$14,E162)),MAX($D$2:D161)+1,0)</f>
        <v>160</v>
      </c>
      <c r="E162" s="295" t="s">
        <v>1470</v>
      </c>
      <c r="F162" s="296">
        <v>3019</v>
      </c>
      <c r="G162" s="297"/>
      <c r="H162" s="298" t="str">
        <f>IFERROR(VLOOKUP(ROWS($H$3:H162),$D$3:$E$204,2,0),"")</f>
        <v>VYŠKOV</v>
      </c>
      <c r="I162" s="266"/>
      <c r="J162" s="300" t="s">
        <v>1471</v>
      </c>
      <c r="K162" s="288" t="s">
        <v>1472</v>
      </c>
      <c r="M162" s="289">
        <f>IF(ISNUMBER(SEARCH(ZAKL_DATA!$B$29,N162)),MAX($M$2:M161)+1,0)</f>
        <v>160</v>
      </c>
      <c r="N162" s="290" t="s">
        <v>1473</v>
      </c>
      <c r="O162" s="305" t="s">
        <v>1474</v>
      </c>
      <c r="Q162" s="292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0" t="s">
        <v>1473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0" t="s">
        <v>1473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0" t="s">
        <v>1473</v>
      </c>
      <c r="Z162" t="str">
        <f>IFERROR(VLOOKUP(ROWS($Z$3:Z162),$X$3:$Y$992,2,0),"")</f>
        <v>Výroba buničiny, papíru a lepenky</v>
      </c>
    </row>
    <row r="163" spans="1:26" ht="12.75" customHeight="1">
      <c r="A163" s="266"/>
      <c r="B163" s="266"/>
      <c r="C163" s="266"/>
      <c r="D163" s="282">
        <f>IF(ISNUMBER(SEARCH(ZAKL_DATA!$B$14,E163)),MAX($D$2:D162)+1,0)</f>
        <v>161</v>
      </c>
      <c r="E163" s="295" t="s">
        <v>1475</v>
      </c>
      <c r="F163" s="296">
        <v>3020</v>
      </c>
      <c r="G163" s="297"/>
      <c r="H163" s="298" t="str">
        <f>IFERROR(VLOOKUP(ROWS($H$3:H163),$D$3:$E$204,2,0),"")</f>
        <v>ZNOJMO</v>
      </c>
      <c r="I163" s="266"/>
      <c r="J163" s="300" t="s">
        <v>1476</v>
      </c>
      <c r="K163" s="288" t="s">
        <v>1477</v>
      </c>
      <c r="M163" s="289">
        <f>IF(ISNUMBER(SEARCH(ZAKL_DATA!$B$29,N163)),MAX($M$2:M162)+1,0)</f>
        <v>161</v>
      </c>
      <c r="N163" s="290" t="s">
        <v>1478</v>
      </c>
      <c r="O163" s="305" t="s">
        <v>1479</v>
      </c>
      <c r="Q163" s="292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0" t="s">
        <v>1478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0" t="s">
        <v>1478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0" t="s">
        <v>1478</v>
      </c>
      <c r="Z163" t="str">
        <f>IFERROR(VLOOKUP(ROWS($Z$3:Z163),$X$3:$Y$992,2,0),"")</f>
        <v>Výroba výrobků z papíru a lepenky</v>
      </c>
    </row>
    <row r="164" spans="1:26" ht="12.75" customHeight="1">
      <c r="A164" s="266"/>
      <c r="B164" s="266"/>
      <c r="C164" s="266"/>
      <c r="D164" s="282">
        <f>IF(ISNUMBER(SEARCH(ZAKL_DATA!$B$14,E164)),MAX($D$2:D163)+1,0)</f>
        <v>162</v>
      </c>
      <c r="E164" s="295" t="s">
        <v>1480</v>
      </c>
      <c r="F164" s="296">
        <v>3101</v>
      </c>
      <c r="G164" s="297"/>
      <c r="H164" s="298" t="str">
        <f>IFERROR(VLOOKUP(ROWS($H$3:H164),$D$3:$E$204,2,0),"")</f>
        <v>OLOMOUC</v>
      </c>
      <c r="I164" s="266"/>
      <c r="J164" s="300" t="s">
        <v>1481</v>
      </c>
      <c r="K164" s="288" t="s">
        <v>1482</v>
      </c>
      <c r="M164" s="289">
        <f>IF(ISNUMBER(SEARCH(ZAKL_DATA!$B$29,N164)),MAX($M$2:M163)+1,0)</f>
        <v>162</v>
      </c>
      <c r="N164" s="290" t="s">
        <v>1483</v>
      </c>
      <c r="O164" s="305" t="s">
        <v>1484</v>
      </c>
      <c r="Q164" s="292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0" t="s">
        <v>1483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0" t="s">
        <v>1483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0" t="s">
        <v>1483</v>
      </c>
      <c r="Z164" t="str">
        <f>IFERROR(VLOOKUP(ROWS($Z$3:Z164),$X$3:$Y$992,2,0),"")</f>
        <v>Tisk a činnosti související s tiskem</v>
      </c>
    </row>
    <row r="165" spans="1:26" ht="12.75" customHeight="1">
      <c r="A165" s="266"/>
      <c r="B165" s="266"/>
      <c r="C165" s="266"/>
      <c r="D165" s="282">
        <f>IF(ISNUMBER(SEARCH(ZAKL_DATA!$B$14,E165)),MAX($D$2:D164)+1,0)</f>
        <v>163</v>
      </c>
      <c r="E165" s="295" t="s">
        <v>1485</v>
      </c>
      <c r="F165" s="296">
        <v>3102</v>
      </c>
      <c r="G165" s="297"/>
      <c r="H165" s="298" t="str">
        <f>IFERROR(VLOOKUP(ROWS($H$3:H165),$D$3:$E$204,2,0),"")</f>
        <v>HRANICE</v>
      </c>
      <c r="I165" s="266"/>
      <c r="J165" s="299" t="s">
        <v>1486</v>
      </c>
      <c r="K165" s="288" t="s">
        <v>1487</v>
      </c>
      <c r="M165" s="289">
        <f>IF(ISNUMBER(SEARCH(ZAKL_DATA!$B$29,N165)),MAX($M$2:M164)+1,0)</f>
        <v>163</v>
      </c>
      <c r="N165" s="290" t="s">
        <v>1488</v>
      </c>
      <c r="O165" s="305" t="s">
        <v>1489</v>
      </c>
      <c r="Q165" s="292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0" t="s">
        <v>1488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0" t="s">
        <v>1488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0" t="s">
        <v>1488</v>
      </c>
      <c r="Z165" t="str">
        <f>IFERROR(VLOOKUP(ROWS($Z$3:Z165),$X$3:$Y$992,2,0),"")</f>
        <v>Rozmnožování nahraných nosičů</v>
      </c>
    </row>
    <row r="166" spans="1:26" ht="12.75" customHeight="1">
      <c r="A166" s="266"/>
      <c r="B166" s="266"/>
      <c r="C166" s="266"/>
      <c r="D166" s="282">
        <f>IF(ISNUMBER(SEARCH(ZAKL_DATA!$B$14,E166)),MAX($D$2:D165)+1,0)</f>
        <v>164</v>
      </c>
      <c r="E166" s="295" t="s">
        <v>1490</v>
      </c>
      <c r="F166" s="296">
        <v>3103</v>
      </c>
      <c r="G166" s="297"/>
      <c r="H166" s="298" t="str">
        <f>IFERROR(VLOOKUP(ROWS($H$3:H166),$D$3:$E$204,2,0),"")</f>
        <v>JESENÍK</v>
      </c>
      <c r="I166" s="266"/>
      <c r="J166" s="300" t="s">
        <v>1491</v>
      </c>
      <c r="K166" s="288" t="s">
        <v>1492</v>
      </c>
      <c r="M166" s="289">
        <f>IF(ISNUMBER(SEARCH(ZAKL_DATA!$B$29,N166)),MAX($M$2:M165)+1,0)</f>
        <v>164</v>
      </c>
      <c r="N166" s="290" t="s">
        <v>1493</v>
      </c>
      <c r="O166" s="305" t="s">
        <v>1494</v>
      </c>
      <c r="Q166" s="292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0" t="s">
        <v>1493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0" t="s">
        <v>1493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0" t="s">
        <v>1493</v>
      </c>
      <c r="Z166" t="str">
        <f>IFERROR(VLOOKUP(ROWS($Z$3:Z166),$X$3:$Y$992,2,0),"")</f>
        <v>Výroba koksárenských produktů</v>
      </c>
    </row>
    <row r="167" spans="1:26" ht="12.75" customHeight="1">
      <c r="A167" s="266"/>
      <c r="B167" s="266"/>
      <c r="C167" s="266"/>
      <c r="D167" s="282">
        <f>IF(ISNUMBER(SEARCH(ZAKL_DATA!$B$14,E167)),MAX($D$2:D166)+1,0)</f>
        <v>165</v>
      </c>
      <c r="E167" s="295" t="s">
        <v>1495</v>
      </c>
      <c r="F167" s="296">
        <v>3104</v>
      </c>
      <c r="G167" s="297"/>
      <c r="H167" s="298" t="str">
        <f>IFERROR(VLOOKUP(ROWS($H$3:H167),$D$3:$E$204,2,0),"")</f>
        <v>KONICE</v>
      </c>
      <c r="I167" s="266"/>
      <c r="J167" s="300" t="s">
        <v>1496</v>
      </c>
      <c r="K167" s="288" t="s">
        <v>1497</v>
      </c>
      <c r="M167" s="289">
        <f>IF(ISNUMBER(SEARCH(ZAKL_DATA!$B$29,N167)),MAX($M$2:M166)+1,0)</f>
        <v>165</v>
      </c>
      <c r="N167" s="290" t="s">
        <v>1498</v>
      </c>
      <c r="O167" s="305" t="s">
        <v>1499</v>
      </c>
      <c r="Q167" s="292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0" t="s">
        <v>1498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0" t="s">
        <v>1498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0" t="s">
        <v>1498</v>
      </c>
      <c r="Z167" t="str">
        <f>IFERROR(VLOOKUP(ROWS($Z$3:Z167),$X$3:$Y$992,2,0),"")</f>
        <v>Výroba rafinovaných ropných produktů</v>
      </c>
    </row>
    <row r="168" spans="1:26" ht="12.75" customHeight="1">
      <c r="A168" s="266"/>
      <c r="B168" s="266"/>
      <c r="C168" s="266"/>
      <c r="D168" s="282">
        <f>IF(ISNUMBER(SEARCH(ZAKL_DATA!$B$14,E168)),MAX($D$2:D167)+1,0)</f>
        <v>166</v>
      </c>
      <c r="E168" s="295" t="s">
        <v>1500</v>
      </c>
      <c r="F168" s="296">
        <v>3105</v>
      </c>
      <c r="G168" s="297"/>
      <c r="H168" s="298" t="str">
        <f>IFERROR(VLOOKUP(ROWS($H$3:H168),$D$3:$E$204,2,0),"")</f>
        <v>LITOVEL</v>
      </c>
      <c r="I168" s="266"/>
      <c r="J168" s="300" t="s">
        <v>1501</v>
      </c>
      <c r="K168" s="288" t="s">
        <v>1502</v>
      </c>
      <c r="M168" s="289">
        <f>IF(ISNUMBER(SEARCH(ZAKL_DATA!$B$29,N168)),MAX($M$2:M167)+1,0)</f>
        <v>166</v>
      </c>
      <c r="N168" s="290" t="s">
        <v>1503</v>
      </c>
      <c r="O168" s="291" t="s">
        <v>1504</v>
      </c>
      <c r="Q168" s="292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0" t="s">
        <v>1503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0" t="s">
        <v>1503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0" t="s">
        <v>1503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66"/>
      <c r="B169" s="266"/>
      <c r="C169" s="266"/>
      <c r="D169" s="282">
        <f>IF(ISNUMBER(SEARCH(ZAKL_DATA!$B$14,E169)),MAX($D$2:D168)+1,0)</f>
        <v>167</v>
      </c>
      <c r="E169" s="295" t="s">
        <v>1505</v>
      </c>
      <c r="F169" s="296">
        <v>3106</v>
      </c>
      <c r="G169" s="297"/>
      <c r="H169" s="298" t="str">
        <f>IFERROR(VLOOKUP(ROWS($H$3:H169),$D$3:$E$204,2,0),"")</f>
        <v>PROSTĚJOV</v>
      </c>
      <c r="I169" s="266"/>
      <c r="J169" s="300" t="s">
        <v>1506</v>
      </c>
      <c r="K169" s="288" t="s">
        <v>1507</v>
      </c>
      <c r="M169" s="289">
        <f>IF(ISNUMBER(SEARCH(ZAKL_DATA!$B$29,N169)),MAX($M$2:M168)+1,0)</f>
        <v>167</v>
      </c>
      <c r="N169" s="290" t="s">
        <v>1508</v>
      </c>
      <c r="O169" s="291" t="s">
        <v>1509</v>
      </c>
      <c r="Q169" s="292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0" t="s">
        <v>1508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0" t="s">
        <v>1508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0" t="s">
        <v>1508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66"/>
      <c r="B170" s="266"/>
      <c r="C170" s="266"/>
      <c r="D170" s="282">
        <f>IF(ISNUMBER(SEARCH(ZAKL_DATA!$B$14,E170)),MAX($D$2:D169)+1,0)</f>
        <v>168</v>
      </c>
      <c r="E170" s="295" t="s">
        <v>1510</v>
      </c>
      <c r="F170" s="296">
        <v>3107</v>
      </c>
      <c r="G170" s="297"/>
      <c r="H170" s="298" t="str">
        <f>IFERROR(VLOOKUP(ROWS($H$3:H170),$D$3:$E$204,2,0),"")</f>
        <v>PŘEROV</v>
      </c>
      <c r="I170" s="266"/>
      <c r="J170" s="300" t="s">
        <v>1511</v>
      </c>
      <c r="K170" s="288" t="s">
        <v>1512</v>
      </c>
      <c r="M170" s="289">
        <f>IF(ISNUMBER(SEARCH(ZAKL_DATA!$B$29,N170)),MAX($M$2:M169)+1,0)</f>
        <v>168</v>
      </c>
      <c r="N170" s="290" t="s">
        <v>1513</v>
      </c>
      <c r="O170" s="291" t="s">
        <v>1514</v>
      </c>
      <c r="Q170" s="292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0" t="s">
        <v>1513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0" t="s">
        <v>1513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0" t="s">
        <v>1513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66"/>
      <c r="B171" s="266"/>
      <c r="C171" s="266"/>
      <c r="D171" s="282">
        <f>IF(ISNUMBER(SEARCH(ZAKL_DATA!$B$14,E171)),MAX($D$2:D170)+1,0)</f>
        <v>169</v>
      </c>
      <c r="E171" s="295" t="s">
        <v>1515</v>
      </c>
      <c r="F171" s="296">
        <v>3108</v>
      </c>
      <c r="G171" s="297"/>
      <c r="H171" s="298" t="str">
        <f>IFERROR(VLOOKUP(ROWS($H$3:H171),$D$3:$E$204,2,0),"")</f>
        <v>ŠTERNBERK</v>
      </c>
      <c r="I171" s="266"/>
      <c r="J171" s="300" t="s">
        <v>1516</v>
      </c>
      <c r="K171" s="288" t="s">
        <v>1517</v>
      </c>
      <c r="M171" s="289">
        <f>IF(ISNUMBER(SEARCH(ZAKL_DATA!$B$29,N171)),MAX($M$2:M170)+1,0)</f>
        <v>169</v>
      </c>
      <c r="N171" s="290" t="s">
        <v>1518</v>
      </c>
      <c r="O171" s="291" t="s">
        <v>1519</v>
      </c>
      <c r="Q171" s="292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0" t="s">
        <v>1518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0" t="s">
        <v>1518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0" t="s">
        <v>1518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66"/>
      <c r="B172" s="266"/>
      <c r="C172" s="266"/>
      <c r="D172" s="282">
        <f>IF(ISNUMBER(SEARCH(ZAKL_DATA!$B$14,E172)),MAX($D$2:D171)+1,0)</f>
        <v>170</v>
      </c>
      <c r="E172" s="295" t="s">
        <v>1520</v>
      </c>
      <c r="F172" s="296">
        <v>3109</v>
      </c>
      <c r="G172" s="297"/>
      <c r="H172" s="298" t="str">
        <f>IFERROR(VLOOKUP(ROWS($H$3:H172),$D$3:$E$204,2,0),"")</f>
        <v>ŠUMPERK</v>
      </c>
      <c r="I172" s="266"/>
      <c r="J172" s="300" t="s">
        <v>1521</v>
      </c>
      <c r="K172" s="288" t="s">
        <v>1522</v>
      </c>
      <c r="M172" s="289">
        <f>IF(ISNUMBER(SEARCH(ZAKL_DATA!$B$29,N172)),MAX($M$2:M171)+1,0)</f>
        <v>170</v>
      </c>
      <c r="N172" s="290" t="s">
        <v>1523</v>
      </c>
      <c r="O172" s="305" t="s">
        <v>1524</v>
      </c>
      <c r="Q172" s="292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0" t="s">
        <v>1523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0" t="s">
        <v>1523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0" t="s">
        <v>1523</v>
      </c>
      <c r="Z172" t="str">
        <f>IFERROR(VLOOKUP(ROWS($Z$3:Z172),$X$3:$Y$992,2,0),"")</f>
        <v>Výroba ostatních chemických výrobků</v>
      </c>
    </row>
    <row r="173" spans="1:26" ht="12.75" customHeight="1">
      <c r="A173" s="266"/>
      <c r="B173" s="266"/>
      <c r="C173" s="266"/>
      <c r="D173" s="282">
        <f>IF(ISNUMBER(SEARCH(ZAKL_DATA!$B$14,E173)),MAX($D$2:D172)+1,0)</f>
        <v>171</v>
      </c>
      <c r="E173" s="295" t="s">
        <v>1525</v>
      </c>
      <c r="F173" s="296">
        <v>3110</v>
      </c>
      <c r="G173" s="297"/>
      <c r="H173" s="298" t="str">
        <f>IFERROR(VLOOKUP(ROWS($H$3:H173),$D$3:$E$204,2,0),"")</f>
        <v>ZÁBŘEH</v>
      </c>
      <c r="I173" s="266"/>
      <c r="J173" s="300" t="s">
        <v>1526</v>
      </c>
      <c r="K173" s="288" t="s">
        <v>1527</v>
      </c>
      <c r="M173" s="289">
        <f>IF(ISNUMBER(SEARCH(ZAKL_DATA!$B$29,N173)),MAX($M$2:M172)+1,0)</f>
        <v>171</v>
      </c>
      <c r="N173" s="290" t="s">
        <v>1528</v>
      </c>
      <c r="O173" s="291" t="s">
        <v>1529</v>
      </c>
      <c r="Q173" s="292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0" t="s">
        <v>1528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0" t="s">
        <v>1528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0" t="s">
        <v>1528</v>
      </c>
      <c r="Z173" t="str">
        <f>IFERROR(VLOOKUP(ROWS($Z$3:Z173),$X$3:$Y$992,2,0),"")</f>
        <v>Výroba chemických vláken</v>
      </c>
    </row>
    <row r="174" spans="1:26" ht="12.75" customHeight="1">
      <c r="A174" s="266"/>
      <c r="B174" s="266"/>
      <c r="C174" s="266"/>
      <c r="D174" s="282">
        <f>IF(ISNUMBER(SEARCH(ZAKL_DATA!$B$14,E174)),MAX($D$2:D173)+1,0)</f>
        <v>172</v>
      </c>
      <c r="E174" s="295" t="s">
        <v>1530</v>
      </c>
      <c r="F174" s="296">
        <v>3201</v>
      </c>
      <c r="G174" s="297"/>
      <c r="H174" s="298" t="str">
        <f>IFERROR(VLOOKUP(ROWS($H$3:H174),$D$3:$E$204,2,0),"")</f>
        <v>OSTRAVA I</v>
      </c>
      <c r="I174" s="266"/>
      <c r="J174" s="300" t="s">
        <v>1531</v>
      </c>
      <c r="K174" s="288" t="s">
        <v>1532</v>
      </c>
      <c r="M174" s="289">
        <f>IF(ISNUMBER(SEARCH(ZAKL_DATA!$B$29,N174)),MAX($M$2:M173)+1,0)</f>
        <v>172</v>
      </c>
      <c r="N174" s="290" t="s">
        <v>1533</v>
      </c>
      <c r="O174" s="305" t="s">
        <v>1534</v>
      </c>
      <c r="Q174" s="292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0" t="s">
        <v>1533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0" t="s">
        <v>1533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0" t="s">
        <v>1533</v>
      </c>
      <c r="Z174" t="str">
        <f>IFERROR(VLOOKUP(ROWS($Z$3:Z174),$X$3:$Y$992,2,0),"")</f>
        <v>Výroba základních farmaceutických výrobků</v>
      </c>
    </row>
    <row r="175" spans="1:26" ht="12.75" customHeight="1">
      <c r="A175" s="266"/>
      <c r="B175" s="266"/>
      <c r="C175" s="266"/>
      <c r="D175" s="282">
        <f>IF(ISNUMBER(SEARCH(ZAKL_DATA!$B$14,E175)),MAX($D$2:D174)+1,0)</f>
        <v>173</v>
      </c>
      <c r="E175" s="295" t="s">
        <v>1535</v>
      </c>
      <c r="F175" s="296">
        <v>3202</v>
      </c>
      <c r="G175" s="297"/>
      <c r="H175" s="298" t="str">
        <f>IFERROR(VLOOKUP(ROWS($H$3:H175),$D$3:$E$204,2,0),"")</f>
        <v>OSTRAVA II</v>
      </c>
      <c r="I175" s="266"/>
      <c r="J175" s="300" t="s">
        <v>1536</v>
      </c>
      <c r="K175" s="288" t="s">
        <v>1537</v>
      </c>
      <c r="M175" s="289">
        <f>IF(ISNUMBER(SEARCH(ZAKL_DATA!$B$29,N175)),MAX($M$2:M174)+1,0)</f>
        <v>173</v>
      </c>
      <c r="N175" s="290" t="s">
        <v>1538</v>
      </c>
      <c r="O175" s="291" t="s">
        <v>1539</v>
      </c>
      <c r="Q175" s="292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0" t="s">
        <v>1538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0" t="s">
        <v>1538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0" t="s">
        <v>1538</v>
      </c>
      <c r="Z175" t="str">
        <f>IFERROR(VLOOKUP(ROWS($Z$3:Z175),$X$3:$Y$992,2,0),"")</f>
        <v>Výroba farmaceutických přípravků</v>
      </c>
    </row>
    <row r="176" spans="1:26" ht="12.75" customHeight="1">
      <c r="A176" s="266"/>
      <c r="B176" s="266"/>
      <c r="C176" s="266"/>
      <c r="D176" s="282">
        <f>IF(ISNUMBER(SEARCH(ZAKL_DATA!$B$14,E176)),MAX($D$2:D175)+1,0)</f>
        <v>174</v>
      </c>
      <c r="E176" s="295" t="s">
        <v>1540</v>
      </c>
      <c r="F176" s="296">
        <v>3203</v>
      </c>
      <c r="G176" s="297"/>
      <c r="H176" s="298" t="str">
        <f>IFERROR(VLOOKUP(ROWS($H$3:H176),$D$3:$E$204,2,0),"")</f>
        <v>OSTRAVA III</v>
      </c>
      <c r="I176" s="266"/>
      <c r="J176" s="300" t="s">
        <v>1541</v>
      </c>
      <c r="K176" s="288" t="s">
        <v>1542</v>
      </c>
      <c r="M176" s="289">
        <f>IF(ISNUMBER(SEARCH(ZAKL_DATA!$B$29,N176)),MAX($M$2:M175)+1,0)</f>
        <v>174</v>
      </c>
      <c r="N176" s="290" t="s">
        <v>1543</v>
      </c>
      <c r="O176" s="305" t="s">
        <v>1544</v>
      </c>
      <c r="Q176" s="292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0" t="s">
        <v>1543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0" t="s">
        <v>1543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0" t="s">
        <v>1543</v>
      </c>
      <c r="Z176" t="str">
        <f>IFERROR(VLOOKUP(ROWS($Z$3:Z176),$X$3:$Y$992,2,0),"")</f>
        <v>Výroba pryžových výrobků</v>
      </c>
    </row>
    <row r="177" spans="1:26" ht="12.75" customHeight="1">
      <c r="A177" s="266"/>
      <c r="B177" s="266"/>
      <c r="C177" s="266"/>
      <c r="D177" s="282">
        <f>IF(ISNUMBER(SEARCH(ZAKL_DATA!$B$14,E177)),MAX($D$2:D176)+1,0)</f>
        <v>175</v>
      </c>
      <c r="E177" s="295" t="s">
        <v>1545</v>
      </c>
      <c r="F177" s="296">
        <v>3204</v>
      </c>
      <c r="G177" s="297"/>
      <c r="H177" s="298" t="str">
        <f>IFERROR(VLOOKUP(ROWS($H$3:H177),$D$3:$E$204,2,0),"")</f>
        <v>BOHUMÍN</v>
      </c>
      <c r="I177" s="266"/>
      <c r="J177" s="300" t="s">
        <v>1546</v>
      </c>
      <c r="K177" s="288" t="s">
        <v>1547</v>
      </c>
      <c r="M177" s="289">
        <f>IF(ISNUMBER(SEARCH(ZAKL_DATA!$B$29,N177)),MAX($M$2:M176)+1,0)</f>
        <v>175</v>
      </c>
      <c r="N177" s="290" t="s">
        <v>1548</v>
      </c>
      <c r="O177" s="291" t="s">
        <v>1549</v>
      </c>
      <c r="Q177" s="292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0" t="s">
        <v>1548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0" t="s">
        <v>1548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0" t="s">
        <v>1548</v>
      </c>
      <c r="Z177" t="str">
        <f>IFERROR(VLOOKUP(ROWS($Z$3:Z177),$X$3:$Y$992,2,0),"")</f>
        <v>Výroba plastových výrobků</v>
      </c>
    </row>
    <row r="178" spans="1:26" ht="12.75" customHeight="1">
      <c r="A178" s="266"/>
      <c r="B178" s="266"/>
      <c r="C178" s="266"/>
      <c r="D178" s="282">
        <f>IF(ISNUMBER(SEARCH(ZAKL_DATA!$B$14,E178)),MAX($D$2:D177)+1,0)</f>
        <v>176</v>
      </c>
      <c r="E178" s="295" t="s">
        <v>1550</v>
      </c>
      <c r="F178" s="296">
        <v>3205</v>
      </c>
      <c r="G178" s="297"/>
      <c r="H178" s="298" t="str">
        <f>IFERROR(VLOOKUP(ROWS($H$3:H178),$D$3:$E$204,2,0),"")</f>
        <v>BRUNTÁL</v>
      </c>
      <c r="I178" s="266"/>
      <c r="J178" s="300" t="s">
        <v>1551</v>
      </c>
      <c r="K178" s="288" t="s">
        <v>1552</v>
      </c>
      <c r="M178" s="289">
        <f>IF(ISNUMBER(SEARCH(ZAKL_DATA!$B$29,N178)),MAX($M$2:M177)+1,0)</f>
        <v>176</v>
      </c>
      <c r="N178" s="290" t="s">
        <v>1553</v>
      </c>
      <c r="O178" s="305" t="s">
        <v>1554</v>
      </c>
      <c r="Q178" s="292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0" t="s">
        <v>1553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0" t="s">
        <v>1553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0" t="s">
        <v>1553</v>
      </c>
      <c r="Z178" t="str">
        <f>IFERROR(VLOOKUP(ROWS($Z$3:Z178),$X$3:$Y$992,2,0),"")</f>
        <v>Výroba skla a skleněných výrobků</v>
      </c>
    </row>
    <row r="179" spans="1:26" ht="12.75" customHeight="1">
      <c r="A179" s="266"/>
      <c r="B179" s="266"/>
      <c r="C179" s="266"/>
      <c r="D179" s="282">
        <f>IF(ISNUMBER(SEARCH(ZAKL_DATA!$B$14,E179)),MAX($D$2:D178)+1,0)</f>
        <v>177</v>
      </c>
      <c r="E179" s="295" t="s">
        <v>1555</v>
      </c>
      <c r="F179" s="296">
        <v>3206</v>
      </c>
      <c r="G179" s="297"/>
      <c r="H179" s="298" t="str">
        <f>IFERROR(VLOOKUP(ROWS($H$3:H179),$D$3:$E$204,2,0),"")</f>
        <v>ČESKÝ TĚŠÍN</v>
      </c>
      <c r="I179" s="266"/>
      <c r="J179" s="300" t="s">
        <v>1556</v>
      </c>
      <c r="K179" s="288" t="s">
        <v>1557</v>
      </c>
      <c r="M179" s="289">
        <f>IF(ISNUMBER(SEARCH(ZAKL_DATA!$B$29,N179)),MAX($M$2:M178)+1,0)</f>
        <v>177</v>
      </c>
      <c r="N179" s="290" t="s">
        <v>1558</v>
      </c>
      <c r="O179" s="305" t="s">
        <v>1559</v>
      </c>
      <c r="Q179" s="292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0" t="s">
        <v>1558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0" t="s">
        <v>1558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0" t="s">
        <v>1558</v>
      </c>
      <c r="Z179" t="str">
        <f>IFERROR(VLOOKUP(ROWS($Z$3:Z179),$X$3:$Y$992,2,0),"")</f>
        <v>Výroba žáruvzdorných výrobků</v>
      </c>
    </row>
    <row r="180" spans="1:26" ht="12.75" customHeight="1">
      <c r="A180" s="266"/>
      <c r="B180" s="266"/>
      <c r="C180" s="266"/>
      <c r="D180" s="282">
        <f>IF(ISNUMBER(SEARCH(ZAKL_DATA!$B$14,E180)),MAX($D$2:D179)+1,0)</f>
        <v>178</v>
      </c>
      <c r="E180" s="295" t="s">
        <v>1560</v>
      </c>
      <c r="F180" s="296">
        <v>3207</v>
      </c>
      <c r="G180" s="297"/>
      <c r="H180" s="298" t="str">
        <f>IFERROR(VLOOKUP(ROWS($H$3:H180),$D$3:$E$204,2,0),"")</f>
        <v>FRÝDEK-MÍSTEK</v>
      </c>
      <c r="I180" s="266"/>
      <c r="J180" s="300" t="s">
        <v>1561</v>
      </c>
      <c r="K180" s="288" t="s">
        <v>1562</v>
      </c>
      <c r="M180" s="289">
        <f>IF(ISNUMBER(SEARCH(ZAKL_DATA!$B$29,N180)),MAX($M$2:M179)+1,0)</f>
        <v>178</v>
      </c>
      <c r="N180" s="290" t="s">
        <v>1563</v>
      </c>
      <c r="O180" s="305" t="s">
        <v>1564</v>
      </c>
      <c r="Q180" s="292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0" t="s">
        <v>1563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0" t="s">
        <v>1563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0" t="s">
        <v>1563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66"/>
      <c r="B181" s="266"/>
      <c r="C181" s="266"/>
      <c r="D181" s="282">
        <f>IF(ISNUMBER(SEARCH(ZAKL_DATA!$B$14,E181)),MAX($D$2:D180)+1,0)</f>
        <v>179</v>
      </c>
      <c r="E181" s="295" t="s">
        <v>1565</v>
      </c>
      <c r="F181" s="296">
        <v>3208</v>
      </c>
      <c r="G181" s="297"/>
      <c r="H181" s="298" t="str">
        <f>IFERROR(VLOOKUP(ROWS($H$3:H181),$D$3:$E$204,2,0),"")</f>
        <v>FRÝDLANT NAD OSTRAV.</v>
      </c>
      <c r="I181" s="266"/>
      <c r="J181" s="300" t="s">
        <v>1566</v>
      </c>
      <c r="K181" s="288" t="s">
        <v>1567</v>
      </c>
      <c r="M181" s="289">
        <f>IF(ISNUMBER(SEARCH(ZAKL_DATA!$B$29,N181)),MAX($M$2:M180)+1,0)</f>
        <v>179</v>
      </c>
      <c r="N181" s="290" t="s">
        <v>1568</v>
      </c>
      <c r="O181" s="305" t="s">
        <v>1569</v>
      </c>
      <c r="Q181" s="292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0" t="s">
        <v>1568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0" t="s">
        <v>1568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0" t="s">
        <v>1568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66"/>
      <c r="B182" s="266"/>
      <c r="C182" s="266"/>
      <c r="D182" s="282">
        <f>IF(ISNUMBER(SEARCH(ZAKL_DATA!$B$14,E182)),MAX($D$2:D181)+1,0)</f>
        <v>180</v>
      </c>
      <c r="E182" s="295" t="s">
        <v>1570</v>
      </c>
      <c r="F182" s="296">
        <v>3209</v>
      </c>
      <c r="G182" s="297"/>
      <c r="H182" s="298" t="str">
        <f>IFERROR(VLOOKUP(ROWS($H$3:H182),$D$3:$E$204,2,0),"")</f>
        <v>FULNEK</v>
      </c>
      <c r="I182" s="266"/>
      <c r="J182" s="300" t="s">
        <v>1571</v>
      </c>
      <c r="K182" s="288" t="s">
        <v>1572</v>
      </c>
      <c r="M182" s="289">
        <f>IF(ISNUMBER(SEARCH(ZAKL_DATA!$B$29,N182)),MAX($M$2:M181)+1,0)</f>
        <v>180</v>
      </c>
      <c r="N182" s="290" t="s">
        <v>1573</v>
      </c>
      <c r="O182" s="305" t="s">
        <v>1574</v>
      </c>
      <c r="Q182" s="292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0" t="s">
        <v>1573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0" t="s">
        <v>1573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0" t="s">
        <v>1573</v>
      </c>
      <c r="Z182" t="str">
        <f>IFERROR(VLOOKUP(ROWS($Z$3:Z182),$X$3:$Y$992,2,0),"")</f>
        <v>Výroba cementu, vápna a sádry</v>
      </c>
    </row>
    <row r="183" spans="1:26" ht="12.75" customHeight="1">
      <c r="A183" s="266"/>
      <c r="B183" s="266"/>
      <c r="C183" s="266"/>
      <c r="D183" s="282">
        <f>IF(ISNUMBER(SEARCH(ZAKL_DATA!$B$14,E183)),MAX($D$2:D182)+1,0)</f>
        <v>181</v>
      </c>
      <c r="E183" s="295" t="s">
        <v>1575</v>
      </c>
      <c r="F183" s="296">
        <v>3210</v>
      </c>
      <c r="G183" s="297"/>
      <c r="H183" s="298" t="str">
        <f>IFERROR(VLOOKUP(ROWS($H$3:H183),$D$3:$E$204,2,0),"")</f>
        <v>HAVÍŘOV</v>
      </c>
      <c r="I183" s="266"/>
      <c r="J183" s="300" t="s">
        <v>1576</v>
      </c>
      <c r="K183" s="288" t="s">
        <v>1577</v>
      </c>
      <c r="M183" s="289">
        <f>IF(ISNUMBER(SEARCH(ZAKL_DATA!$B$29,N183)),MAX($M$2:M182)+1,0)</f>
        <v>181</v>
      </c>
      <c r="N183" s="290" t="s">
        <v>1578</v>
      </c>
      <c r="O183" s="305" t="s">
        <v>1579</v>
      </c>
      <c r="Q183" s="292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0" t="s">
        <v>1578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0" t="s">
        <v>1578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0" t="s">
        <v>1578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66"/>
      <c r="B184" s="266"/>
      <c r="C184" s="266"/>
      <c r="D184" s="282">
        <f>IF(ISNUMBER(SEARCH(ZAKL_DATA!$B$14,E184)),MAX($D$2:D183)+1,0)</f>
        <v>182</v>
      </c>
      <c r="E184" s="295" t="s">
        <v>1580</v>
      </c>
      <c r="F184" s="296">
        <v>3211</v>
      </c>
      <c r="G184" s="297"/>
      <c r="H184" s="298" t="str">
        <f>IFERROR(VLOOKUP(ROWS($H$3:H184),$D$3:$E$204,2,0),"")</f>
        <v>HLUČÍN</v>
      </c>
      <c r="I184" s="266"/>
      <c r="J184" s="300" t="s">
        <v>1581</v>
      </c>
      <c r="K184" s="288" t="s">
        <v>1582</v>
      </c>
      <c r="M184" s="289">
        <f>IF(ISNUMBER(SEARCH(ZAKL_DATA!$B$29,N184)),MAX($M$2:M183)+1,0)</f>
        <v>182</v>
      </c>
      <c r="N184" s="290" t="s">
        <v>1583</v>
      </c>
      <c r="O184" s="305" t="s">
        <v>1584</v>
      </c>
      <c r="Q184" s="292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0" t="s">
        <v>1583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0" t="s">
        <v>1583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0" t="s">
        <v>1583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66"/>
      <c r="B185" s="266"/>
      <c r="C185" s="266"/>
      <c r="D185" s="282">
        <f>IF(ISNUMBER(SEARCH(ZAKL_DATA!$B$14,E185)),MAX($D$2:D184)+1,0)</f>
        <v>183</v>
      </c>
      <c r="E185" s="295" t="s">
        <v>1585</v>
      </c>
      <c r="F185" s="296">
        <v>3212</v>
      </c>
      <c r="G185" s="297"/>
      <c r="H185" s="298" t="str">
        <f>IFERROR(VLOOKUP(ROWS($H$3:H185),$D$3:$E$204,2,0),"")</f>
        <v>KARVINÁ</v>
      </c>
      <c r="I185" s="266"/>
      <c r="J185" s="300" t="s">
        <v>1586</v>
      </c>
      <c r="K185" s="288" t="s">
        <v>1587</v>
      </c>
      <c r="M185" s="289">
        <f>IF(ISNUMBER(SEARCH(ZAKL_DATA!$B$29,N185)),MAX($M$2:M184)+1,0)</f>
        <v>183</v>
      </c>
      <c r="N185" s="290" t="s">
        <v>1588</v>
      </c>
      <c r="O185" s="291" t="s">
        <v>1589</v>
      </c>
      <c r="Q185" s="292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0" t="s">
        <v>1588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0" t="s">
        <v>1588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0" t="s">
        <v>1588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66"/>
      <c r="B186" s="266"/>
      <c r="C186" s="266"/>
      <c r="D186" s="282">
        <f>IF(ISNUMBER(SEARCH(ZAKL_DATA!$B$14,E186)),MAX($D$2:D185)+1,0)</f>
        <v>184</v>
      </c>
      <c r="E186" s="295" t="s">
        <v>1590</v>
      </c>
      <c r="F186" s="296">
        <v>3213</v>
      </c>
      <c r="G186" s="297"/>
      <c r="H186" s="298" t="str">
        <f>IFERROR(VLOOKUP(ROWS($H$3:H186),$D$3:$E$204,2,0),"")</f>
        <v>KOPŘIVNICE</v>
      </c>
      <c r="I186" s="266"/>
      <c r="J186" s="300" t="s">
        <v>1591</v>
      </c>
      <c r="K186" s="288" t="s">
        <v>1592</v>
      </c>
      <c r="M186" s="289">
        <f>IF(ISNUMBER(SEARCH(ZAKL_DATA!$B$29,N186)),MAX($M$2:M185)+1,0)</f>
        <v>184</v>
      </c>
      <c r="N186" s="290" t="s">
        <v>1593</v>
      </c>
      <c r="O186" s="291" t="s">
        <v>1594</v>
      </c>
      <c r="Q186" s="292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0" t="s">
        <v>1593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0" t="s">
        <v>1593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0" t="s">
        <v>1593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66"/>
      <c r="B187" s="266"/>
      <c r="C187" s="266"/>
      <c r="D187" s="282">
        <f>IF(ISNUMBER(SEARCH(ZAKL_DATA!$B$14,E187)),MAX($D$2:D186)+1,0)</f>
        <v>185</v>
      </c>
      <c r="E187" s="295" t="s">
        <v>1595</v>
      </c>
      <c r="F187" s="296">
        <v>3214</v>
      </c>
      <c r="G187" s="297"/>
      <c r="H187" s="298" t="str">
        <f>IFERROR(VLOOKUP(ROWS($H$3:H187),$D$3:$E$204,2,0),"")</f>
        <v>KRNOV</v>
      </c>
      <c r="I187" s="266"/>
      <c r="J187" s="300" t="s">
        <v>1596</v>
      </c>
      <c r="K187" s="288" t="s">
        <v>1597</v>
      </c>
      <c r="M187" s="289">
        <f>IF(ISNUMBER(SEARCH(ZAKL_DATA!$B$29,N187)),MAX($M$2:M186)+1,0)</f>
        <v>185</v>
      </c>
      <c r="N187" s="290" t="s">
        <v>1598</v>
      </c>
      <c r="O187" s="305" t="s">
        <v>1599</v>
      </c>
      <c r="Q187" s="292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0" t="s">
        <v>1598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0" t="s">
        <v>1598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0" t="s">
        <v>1598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66"/>
      <c r="B188" s="266"/>
      <c r="C188" s="266"/>
      <c r="D188" s="282">
        <f>IF(ISNUMBER(SEARCH(ZAKL_DATA!$B$14,E188)),MAX($D$2:D187)+1,0)</f>
        <v>186</v>
      </c>
      <c r="E188" s="295" t="s">
        <v>1600</v>
      </c>
      <c r="F188" s="296">
        <v>3215</v>
      </c>
      <c r="G188" s="297"/>
      <c r="H188" s="298" t="str">
        <f>IFERROR(VLOOKUP(ROWS($H$3:H188),$D$3:$E$204,2,0),"")</f>
        <v>NOVÝ JIČÍN</v>
      </c>
      <c r="I188" s="266"/>
      <c r="J188" s="300" t="s">
        <v>1601</v>
      </c>
      <c r="K188" s="288" t="s">
        <v>1602</v>
      </c>
      <c r="M188" s="289">
        <f>IF(ISNUMBER(SEARCH(ZAKL_DATA!$B$29,N188)),MAX($M$2:M187)+1,0)</f>
        <v>186</v>
      </c>
      <c r="N188" s="290" t="s">
        <v>1603</v>
      </c>
      <c r="O188" s="291" t="s">
        <v>1604</v>
      </c>
      <c r="Q188" s="292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0" t="s">
        <v>1603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0" t="s">
        <v>1603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0" t="s">
        <v>1603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66"/>
      <c r="B189" s="266"/>
      <c r="C189" s="266"/>
      <c r="D189" s="282">
        <f>IF(ISNUMBER(SEARCH(ZAKL_DATA!$B$14,E189)),MAX($D$2:D188)+1,0)</f>
        <v>187</v>
      </c>
      <c r="E189" s="295" t="s">
        <v>1605</v>
      </c>
      <c r="F189" s="296">
        <v>3216</v>
      </c>
      <c r="G189" s="297"/>
      <c r="H189" s="298" t="str">
        <f>IFERROR(VLOOKUP(ROWS($H$3:H189),$D$3:$E$204,2,0),"")</f>
        <v>OPAVA</v>
      </c>
      <c r="I189" s="266"/>
      <c r="J189" s="300" t="s">
        <v>1606</v>
      </c>
      <c r="K189" s="288" t="s">
        <v>1607</v>
      </c>
      <c r="M189" s="289">
        <f>IF(ISNUMBER(SEARCH(ZAKL_DATA!$B$29,N189)),MAX($M$2:M188)+1,0)</f>
        <v>187</v>
      </c>
      <c r="N189" s="290" t="s">
        <v>1608</v>
      </c>
      <c r="O189" s="305" t="s">
        <v>1609</v>
      </c>
      <c r="Q189" s="292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0" t="s">
        <v>1608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0" t="s">
        <v>1608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0" t="s">
        <v>1608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66"/>
      <c r="B190" s="266"/>
      <c r="C190" s="266"/>
      <c r="D190" s="282">
        <f>IF(ISNUMBER(SEARCH(ZAKL_DATA!$B$14,E190)),MAX($D$2:D189)+1,0)</f>
        <v>188</v>
      </c>
      <c r="E190" s="295" t="s">
        <v>1610</v>
      </c>
      <c r="F190" s="296">
        <v>3217</v>
      </c>
      <c r="G190" s="297"/>
      <c r="H190" s="298" t="str">
        <f>IFERROR(VLOOKUP(ROWS($H$3:H190),$D$3:$E$204,2,0),"")</f>
        <v>ORLOVÁ</v>
      </c>
      <c r="I190" s="266"/>
      <c r="J190" s="300" t="s">
        <v>1611</v>
      </c>
      <c r="K190" s="288" t="s">
        <v>1612</v>
      </c>
      <c r="M190" s="289">
        <f>IF(ISNUMBER(SEARCH(ZAKL_DATA!$B$29,N190)),MAX($M$2:M189)+1,0)</f>
        <v>188</v>
      </c>
      <c r="N190" s="290" t="s">
        <v>1613</v>
      </c>
      <c r="O190" s="291" t="s">
        <v>1614</v>
      </c>
      <c r="Q190" s="292" t="str">
        <f>IFERROR(VLOOKUP(ROWS($Q$3:Q190),$M$3:$N$992,2,0),"")</f>
        <v>Slévárenství</v>
      </c>
      <c r="R190">
        <f>IF(ISNUMBER(SEARCH('1Př1'!$A$32,N190)),MAX($M$2:M189)+1,0)</f>
        <v>188</v>
      </c>
      <c r="S190" s="290" t="s">
        <v>1613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0" t="s">
        <v>1613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0" t="s">
        <v>1613</v>
      </c>
      <c r="Z190" t="str">
        <f>IFERROR(VLOOKUP(ROWS($Z$3:Z190),$X$3:$Y$992,2,0),"")</f>
        <v>Slévárenství</v>
      </c>
    </row>
    <row r="191" spans="1:26" ht="12.75" customHeight="1">
      <c r="A191" s="266"/>
      <c r="B191" s="266"/>
      <c r="C191" s="266"/>
      <c r="D191" s="282">
        <f>IF(ISNUMBER(SEARCH(ZAKL_DATA!$B$14,E191)),MAX($D$2:D190)+1,0)</f>
        <v>189</v>
      </c>
      <c r="E191" s="295" t="s">
        <v>1615</v>
      </c>
      <c r="F191" s="296">
        <v>3218</v>
      </c>
      <c r="G191" s="297"/>
      <c r="H191" s="298" t="str">
        <f>IFERROR(VLOOKUP(ROWS($H$3:H191),$D$3:$E$204,2,0),"")</f>
        <v>TŘINEC</v>
      </c>
      <c r="I191" s="266"/>
      <c r="J191" s="300" t="s">
        <v>1616</v>
      </c>
      <c r="K191" s="288" t="s">
        <v>1617</v>
      </c>
      <c r="M191" s="289">
        <f>IF(ISNUMBER(SEARCH(ZAKL_DATA!$B$29,N191)),MAX($M$2:M190)+1,0)</f>
        <v>189</v>
      </c>
      <c r="N191" s="290" t="s">
        <v>1618</v>
      </c>
      <c r="O191" s="305" t="s">
        <v>1619</v>
      </c>
      <c r="Q191" s="292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0" t="s">
        <v>1618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0" t="s">
        <v>1618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0" t="s">
        <v>1618</v>
      </c>
      <c r="Z191" t="str">
        <f>IFERROR(VLOOKUP(ROWS($Z$3:Z191),$X$3:$Y$992,2,0),"")</f>
        <v>Výroba konstrukčních kovových výrobků</v>
      </c>
    </row>
    <row r="192" spans="1:26" ht="12.75" customHeight="1">
      <c r="A192" s="266"/>
      <c r="B192" s="266"/>
      <c r="C192" s="266"/>
      <c r="D192" s="282">
        <f>IF(ISNUMBER(SEARCH(ZAKL_DATA!$B$14,E192)),MAX($D$2:D191)+1,0)</f>
        <v>190</v>
      </c>
      <c r="E192" s="295" t="s">
        <v>1620</v>
      </c>
      <c r="F192" s="296">
        <v>3301</v>
      </c>
      <c r="G192" s="297"/>
      <c r="H192" s="298" t="str">
        <f>IFERROR(VLOOKUP(ROWS($H$3:H192),$D$3:$E$204,2,0),"")</f>
        <v>ZLÍN</v>
      </c>
      <c r="I192" s="266"/>
      <c r="J192" s="300" t="s">
        <v>1621</v>
      </c>
      <c r="K192" s="288" t="s">
        <v>1622</v>
      </c>
      <c r="M192" s="289">
        <f>IF(ISNUMBER(SEARCH(ZAKL_DATA!$B$29,N192)),MAX($M$2:M191)+1,0)</f>
        <v>190</v>
      </c>
      <c r="N192" s="290" t="s">
        <v>1623</v>
      </c>
      <c r="O192" s="305" t="s">
        <v>1624</v>
      </c>
      <c r="Q192" s="292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0" t="s">
        <v>1623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0" t="s">
        <v>1623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0" t="s">
        <v>1623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66"/>
      <c r="B193" s="266"/>
      <c r="C193" s="266"/>
      <c r="D193" s="282">
        <f>IF(ISNUMBER(SEARCH(ZAKL_DATA!$B$14,E193)),MAX($D$2:D192)+1,0)</f>
        <v>191</v>
      </c>
      <c r="E193" s="295" t="s">
        <v>1625</v>
      </c>
      <c r="F193" s="296">
        <v>3302</v>
      </c>
      <c r="G193" s="297"/>
      <c r="H193" s="298" t="str">
        <f>IFERROR(VLOOKUP(ROWS($H$3:H193),$D$3:$E$204,2,0),"")</f>
        <v>BYSTŘICE POD HOSTÝNEM</v>
      </c>
      <c r="I193" s="266"/>
      <c r="J193" s="300" t="s">
        <v>1626</v>
      </c>
      <c r="K193" s="288" t="s">
        <v>1627</v>
      </c>
      <c r="M193" s="289">
        <f>IF(ISNUMBER(SEARCH(ZAKL_DATA!$B$29,N193)),MAX($M$2:M192)+1,0)</f>
        <v>191</v>
      </c>
      <c r="N193" s="290" t="s">
        <v>1628</v>
      </c>
      <c r="O193" s="305" t="s">
        <v>1629</v>
      </c>
      <c r="Q193" s="292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0" t="s">
        <v>1628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0" t="s">
        <v>1628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0" t="s">
        <v>1628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66"/>
      <c r="B194" s="266"/>
      <c r="C194" s="266"/>
      <c r="D194" s="282">
        <f>IF(ISNUMBER(SEARCH(ZAKL_DATA!$B$14,E194)),MAX($D$2:D193)+1,0)</f>
        <v>192</v>
      </c>
      <c r="E194" s="295" t="s">
        <v>1630</v>
      </c>
      <c r="F194" s="296">
        <v>3303</v>
      </c>
      <c r="G194" s="297"/>
      <c r="H194" s="298" t="str">
        <f>IFERROR(VLOOKUP(ROWS($H$3:H194),$D$3:$E$204,2,0),"")</f>
        <v>HOLEŠOV</v>
      </c>
      <c r="I194" s="266"/>
      <c r="J194" s="300" t="s">
        <v>1631</v>
      </c>
      <c r="K194" s="288" t="s">
        <v>1632</v>
      </c>
      <c r="M194" s="289">
        <f>IF(ISNUMBER(SEARCH(ZAKL_DATA!$B$29,N194)),MAX($M$2:M193)+1,0)</f>
        <v>192</v>
      </c>
      <c r="N194" s="290" t="s">
        <v>1633</v>
      </c>
      <c r="O194" s="305" t="s">
        <v>1634</v>
      </c>
      <c r="Q194" s="292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0" t="s">
        <v>1633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0" t="s">
        <v>1633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0" t="s">
        <v>1633</v>
      </c>
      <c r="Z194" t="str">
        <f>IFERROR(VLOOKUP(ROWS($Z$3:Z194),$X$3:$Y$992,2,0),"")</f>
        <v>Výroba zbraní a střeliva</v>
      </c>
    </row>
    <row r="195" spans="1:26" ht="12.75" customHeight="1">
      <c r="A195" s="266"/>
      <c r="B195" s="266"/>
      <c r="C195" s="266"/>
      <c r="D195" s="282">
        <f>IF(ISNUMBER(SEARCH(ZAKL_DATA!$B$14,E195)),MAX($D$2:D194)+1,0)</f>
        <v>193</v>
      </c>
      <c r="E195" s="295" t="s">
        <v>1635</v>
      </c>
      <c r="F195" s="296">
        <v>3304</v>
      </c>
      <c r="G195" s="297"/>
      <c r="H195" s="298" t="str">
        <f>IFERROR(VLOOKUP(ROWS($H$3:H195),$D$3:$E$204,2,0),"")</f>
        <v>KROMĚŘÍŽ</v>
      </c>
      <c r="I195" s="266"/>
      <c r="J195" s="300" t="s">
        <v>1636</v>
      </c>
      <c r="K195" s="288" t="s">
        <v>1637</v>
      </c>
      <c r="M195" s="289">
        <f>IF(ISNUMBER(SEARCH(ZAKL_DATA!$B$29,N195)),MAX($M$2:M194)+1,0)</f>
        <v>193</v>
      </c>
      <c r="N195" s="290" t="s">
        <v>1638</v>
      </c>
      <c r="O195" s="291" t="s">
        <v>1639</v>
      </c>
      <c r="Q195" s="292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0" t="s">
        <v>1638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0" t="s">
        <v>1638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0" t="s">
        <v>1638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66"/>
      <c r="B196" s="266"/>
      <c r="C196" s="266"/>
      <c r="D196" s="282">
        <f>IF(ISNUMBER(SEARCH(ZAKL_DATA!$B$14,E196)),MAX($D$2:D195)+1,0)</f>
        <v>194</v>
      </c>
      <c r="E196" s="295" t="s">
        <v>1640</v>
      </c>
      <c r="F196" s="296">
        <v>3305</v>
      </c>
      <c r="G196" s="297"/>
      <c r="H196" s="298" t="str">
        <f>IFERROR(VLOOKUP(ROWS($H$3:H196),$D$3:$E$204,2,0),"")</f>
        <v>LUHAČOVICE</v>
      </c>
      <c r="I196" s="266"/>
      <c r="J196" s="300" t="s">
        <v>1641</v>
      </c>
      <c r="K196" s="288" t="s">
        <v>1642</v>
      </c>
      <c r="M196" s="289">
        <f>IF(ISNUMBER(SEARCH(ZAKL_DATA!$B$29,N196)),MAX($M$2:M195)+1,0)</f>
        <v>194</v>
      </c>
      <c r="N196" s="290" t="s">
        <v>1643</v>
      </c>
      <c r="O196" s="291" t="s">
        <v>1644</v>
      </c>
      <c r="Q196" s="292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0" t="s">
        <v>1643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0" t="s">
        <v>1643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0" t="s">
        <v>1643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66"/>
      <c r="B197" s="266"/>
      <c r="C197" s="266"/>
      <c r="D197" s="282">
        <f>IF(ISNUMBER(SEARCH(ZAKL_DATA!$B$14,E197)),MAX($D$2:D196)+1,0)</f>
        <v>195</v>
      </c>
      <c r="E197" s="295" t="s">
        <v>1645</v>
      </c>
      <c r="F197" s="296">
        <v>3306</v>
      </c>
      <c r="G197" s="297"/>
      <c r="H197" s="298" t="str">
        <f>IFERROR(VLOOKUP(ROWS($H$3:H197),$D$3:$E$204,2,0),"")</f>
        <v>OTROKOVICE</v>
      </c>
      <c r="I197" s="266"/>
      <c r="J197" s="300" t="s">
        <v>1646</v>
      </c>
      <c r="K197" s="288" t="s">
        <v>1647</v>
      </c>
      <c r="M197" s="289">
        <f>IF(ISNUMBER(SEARCH(ZAKL_DATA!$B$29,N197)),MAX($M$2:M196)+1,0)</f>
        <v>195</v>
      </c>
      <c r="N197" s="290" t="s">
        <v>1648</v>
      </c>
      <c r="O197" s="291" t="s">
        <v>1649</v>
      </c>
      <c r="Q197" s="292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0" t="s">
        <v>1648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0" t="s">
        <v>1648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0" t="s">
        <v>1648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66"/>
      <c r="B198" s="266"/>
      <c r="C198" s="266"/>
      <c r="D198" s="282">
        <f>IF(ISNUMBER(SEARCH(ZAKL_DATA!$B$14,E198)),MAX($D$2:D197)+1,0)</f>
        <v>196</v>
      </c>
      <c r="E198" s="295" t="s">
        <v>1650</v>
      </c>
      <c r="F198" s="296">
        <v>3307</v>
      </c>
      <c r="G198" s="297"/>
      <c r="H198" s="298" t="str">
        <f>IFERROR(VLOOKUP(ROWS($H$3:H198),$D$3:$E$204,2,0),"")</f>
        <v>ROŽNOV POD RADH.</v>
      </c>
      <c r="I198" s="266"/>
      <c r="J198" s="300" t="s">
        <v>1651</v>
      </c>
      <c r="K198" s="288" t="s">
        <v>1652</v>
      </c>
      <c r="M198" s="289">
        <f>IF(ISNUMBER(SEARCH(ZAKL_DATA!$B$29,N198)),MAX($M$2:M197)+1,0)</f>
        <v>196</v>
      </c>
      <c r="N198" s="290" t="s">
        <v>1653</v>
      </c>
      <c r="O198" s="291" t="s">
        <v>1654</v>
      </c>
      <c r="Q198" s="292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0" t="s">
        <v>1653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0" t="s">
        <v>1653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0" t="s">
        <v>1653</v>
      </c>
      <c r="Z198" t="str">
        <f>IFERROR(VLOOKUP(ROWS($Z$3:Z198),$X$3:$Y$992,2,0),"")</f>
        <v>Výroba ostatních kovodělných výrobků</v>
      </c>
    </row>
    <row r="199" spans="1:26" ht="12.75" customHeight="1">
      <c r="A199" s="266"/>
      <c r="B199" s="266"/>
      <c r="C199" s="266"/>
      <c r="D199" s="282">
        <f>IF(ISNUMBER(SEARCH(ZAKL_DATA!$B$14,E199)),MAX($D$2:D198)+1,0)</f>
        <v>197</v>
      </c>
      <c r="E199" s="295" t="s">
        <v>1655</v>
      </c>
      <c r="F199" s="296">
        <v>3308</v>
      </c>
      <c r="G199" s="297"/>
      <c r="H199" s="298" t="str">
        <f>IFERROR(VLOOKUP(ROWS($H$3:H199),$D$3:$E$204,2,0),"")</f>
        <v>UHERSKÝ BROD</v>
      </c>
      <c r="I199" s="266"/>
      <c r="J199" s="300" t="s">
        <v>1656</v>
      </c>
      <c r="K199" s="288" t="s">
        <v>1657</v>
      </c>
      <c r="M199" s="289">
        <f>IF(ISNUMBER(SEARCH(ZAKL_DATA!$B$29,N199)),MAX($M$2:M198)+1,0)</f>
        <v>197</v>
      </c>
      <c r="N199" s="290" t="s">
        <v>1658</v>
      </c>
      <c r="O199" s="291" t="s">
        <v>1659</v>
      </c>
      <c r="Q199" s="292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0" t="s">
        <v>1658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0" t="s">
        <v>1658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0" t="s">
        <v>1658</v>
      </c>
      <c r="Z199" t="str">
        <f>IFERROR(VLOOKUP(ROWS($Z$3:Z199),$X$3:$Y$992,2,0),"")</f>
        <v>Výroba elektronických součástek a desek</v>
      </c>
    </row>
    <row r="200" spans="1:26" ht="12.75" customHeight="1">
      <c r="A200" s="266"/>
      <c r="B200" s="266"/>
      <c r="C200" s="266"/>
      <c r="D200" s="282">
        <f>IF(ISNUMBER(SEARCH(ZAKL_DATA!$B$14,E200)),MAX($D$2:D199)+1,0)</f>
        <v>198</v>
      </c>
      <c r="E200" s="295" t="s">
        <v>1660</v>
      </c>
      <c r="F200" s="296">
        <v>3309</v>
      </c>
      <c r="G200" s="297"/>
      <c r="H200" s="298" t="str">
        <f>IFERROR(VLOOKUP(ROWS($H$3:H200),$D$3:$E$204,2,0),"")</f>
        <v>UHERSKÉ HRADIŠTĚ</v>
      </c>
      <c r="I200" s="266"/>
      <c r="J200" s="300" t="s">
        <v>1661</v>
      </c>
      <c r="K200" s="288" t="s">
        <v>1662</v>
      </c>
      <c r="M200" s="289">
        <f>IF(ISNUMBER(SEARCH(ZAKL_DATA!$B$29,N200)),MAX($M$2:M199)+1,0)</f>
        <v>198</v>
      </c>
      <c r="N200" s="290" t="s">
        <v>1663</v>
      </c>
      <c r="O200" s="291" t="s">
        <v>1664</v>
      </c>
      <c r="Q200" s="292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0" t="s">
        <v>1663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0" t="s">
        <v>1663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0" t="s">
        <v>1663</v>
      </c>
      <c r="Z200" t="str">
        <f>IFERROR(VLOOKUP(ROWS($Z$3:Z200),$X$3:$Y$992,2,0),"")</f>
        <v>Výroba počítačů a periferních zařízení</v>
      </c>
    </row>
    <row r="201" spans="1:26" ht="12.75" customHeight="1">
      <c r="A201" s="266"/>
      <c r="B201" s="266"/>
      <c r="C201" s="266"/>
      <c r="D201" s="282">
        <f>IF(ISNUMBER(SEARCH(ZAKL_DATA!$B$14,E201)),MAX($D$2:D200)+1,0)</f>
        <v>199</v>
      </c>
      <c r="E201" s="295" t="s">
        <v>1665</v>
      </c>
      <c r="F201" s="296">
        <v>3310</v>
      </c>
      <c r="G201" s="297"/>
      <c r="H201" s="298" t="str">
        <f>IFERROR(VLOOKUP(ROWS($H$3:H201),$D$3:$E$204,2,0),"")</f>
        <v>VALAŠSKÉ MEZIŘÍČÍ</v>
      </c>
      <c r="I201" s="266"/>
      <c r="J201" s="300" t="s">
        <v>1666</v>
      </c>
      <c r="K201" s="288" t="s">
        <v>1667</v>
      </c>
      <c r="M201" s="289">
        <f>IF(ISNUMBER(SEARCH(ZAKL_DATA!$B$29,N201)),MAX($M$2:M200)+1,0)</f>
        <v>199</v>
      </c>
      <c r="N201" s="290" t="s">
        <v>1668</v>
      </c>
      <c r="O201" s="305" t="s">
        <v>1669</v>
      </c>
      <c r="Q201" s="292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0" t="s">
        <v>1668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0" t="s">
        <v>1668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0" t="s">
        <v>1668</v>
      </c>
      <c r="Z201" t="str">
        <f>IFERROR(VLOOKUP(ROWS($Z$3:Z201),$X$3:$Y$992,2,0),"")</f>
        <v>Výroba komunikačních zařízení</v>
      </c>
    </row>
    <row r="202" spans="1:26" ht="12.75" customHeight="1">
      <c r="A202" s="266"/>
      <c r="B202" s="266"/>
      <c r="C202" s="266"/>
      <c r="D202" s="282">
        <f>IF(ISNUMBER(SEARCH(ZAKL_DATA!$B$14,E202)),MAX($D$2:D201)+1,0)</f>
        <v>200</v>
      </c>
      <c r="E202" s="295" t="s">
        <v>1670</v>
      </c>
      <c r="F202" s="296">
        <v>3311</v>
      </c>
      <c r="G202" s="297"/>
      <c r="H202" s="298" t="str">
        <f>IFERROR(VLOOKUP(ROWS($H$3:H202),$D$3:$E$204,2,0),"")</f>
        <v>VALAŠSKÉ KLOBOUKY</v>
      </c>
      <c r="I202" s="266"/>
      <c r="J202" s="300" t="s">
        <v>1671</v>
      </c>
      <c r="K202" s="288" t="s">
        <v>1672</v>
      </c>
      <c r="M202" s="289">
        <f>IF(ISNUMBER(SEARCH(ZAKL_DATA!$B$29,N202)),MAX($M$2:M201)+1,0)</f>
        <v>200</v>
      </c>
      <c r="N202" s="290" t="s">
        <v>1673</v>
      </c>
      <c r="O202" s="291" t="s">
        <v>1674</v>
      </c>
      <c r="Q202" s="292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0" t="s">
        <v>1673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0" t="s">
        <v>1673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0" t="s">
        <v>1673</v>
      </c>
      <c r="Z202" t="str">
        <f>IFERROR(VLOOKUP(ROWS($Z$3:Z202),$X$3:$Y$992,2,0),"")</f>
        <v>Výroba spotřební elektroniky</v>
      </c>
    </row>
    <row r="203" spans="1:26" ht="12.75" customHeight="1">
      <c r="A203" s="266"/>
      <c r="B203" s="266"/>
      <c r="C203" s="266"/>
      <c r="D203" s="282">
        <f>IF(ISNUMBER(SEARCH(ZAKL_DATA!$B$14,E203)),MAX($D$2:D202)+1,0)</f>
        <v>201</v>
      </c>
      <c r="E203" s="295" t="s">
        <v>1675</v>
      </c>
      <c r="F203" s="296">
        <v>3312</v>
      </c>
      <c r="G203" s="297"/>
      <c r="H203" s="298" t="str">
        <f>IFERROR(VLOOKUP(ROWS($H$3:H203),$D$3:$E$204,2,0),"")</f>
        <v>VSETÍN</v>
      </c>
      <c r="I203" s="266"/>
      <c r="J203" s="300" t="s">
        <v>1676</v>
      </c>
      <c r="K203" s="288" t="s">
        <v>1677</v>
      </c>
      <c r="M203" s="289">
        <f>IF(ISNUMBER(SEARCH(ZAKL_DATA!$B$29,N203)),MAX($M$2:M202)+1,0)</f>
        <v>201</v>
      </c>
      <c r="N203" s="290" t="s">
        <v>1678</v>
      </c>
      <c r="O203" s="291" t="s">
        <v>1679</v>
      </c>
      <c r="Q203" s="292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0" t="s">
        <v>1678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0" t="s">
        <v>1678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0" t="s">
        <v>1678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66"/>
      <c r="B204" s="266"/>
      <c r="C204" s="266"/>
      <c r="D204" s="282">
        <f>IF(ISNUMBER(SEARCH(ZAKL_DATA!$B$14,E204)),MAX($D$2:D203)+1,0)</f>
        <v>202</v>
      </c>
      <c r="E204" s="308" t="s">
        <v>747</v>
      </c>
      <c r="F204" s="309">
        <v>4000</v>
      </c>
      <c r="G204" s="310"/>
      <c r="H204" s="311" t="str">
        <f>IFERROR(VLOOKUP(ROWS($H$3:H204),$D$3:$E$204,2,0),"")</f>
        <v>SPECIALIZOVANÝ</v>
      </c>
      <c r="I204" s="266"/>
      <c r="J204" s="300" t="s">
        <v>1680</v>
      </c>
      <c r="K204" s="288" t="s">
        <v>1681</v>
      </c>
      <c r="M204" s="289">
        <f>IF(ISNUMBER(SEARCH(ZAKL_DATA!$B$29,N204)),MAX($M$2:M203)+1,0)</f>
        <v>202</v>
      </c>
      <c r="N204" s="290" t="s">
        <v>1682</v>
      </c>
      <c r="O204" s="291" t="s">
        <v>1683</v>
      </c>
      <c r="Q204" s="292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0" t="s">
        <v>1682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0" t="s">
        <v>1682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0" t="s">
        <v>1682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66"/>
      <c r="B205" s="266"/>
      <c r="C205" s="266"/>
      <c r="D205" s="267"/>
      <c r="E205" s="266"/>
      <c r="F205" s="266"/>
      <c r="G205" s="266"/>
      <c r="H205" s="266" t="str">
        <f>IFERROR(VLOOKUP(ROWS($H$3:H205),$D$2:$E$204,2,0),"")</f>
        <v/>
      </c>
      <c r="I205" s="266"/>
      <c r="J205" s="300" t="s">
        <v>1684</v>
      </c>
      <c r="K205" s="288" t="s">
        <v>1685</v>
      </c>
      <c r="M205" s="289">
        <f>IF(ISNUMBER(SEARCH(ZAKL_DATA!$B$29,N205)),MAX($M$2:M204)+1,0)</f>
        <v>203</v>
      </c>
      <c r="N205" s="290" t="s">
        <v>1686</v>
      </c>
      <c r="O205" s="291" t="s">
        <v>1687</v>
      </c>
      <c r="Q205" s="292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0" t="s">
        <v>1686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0" t="s">
        <v>1686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0" t="s">
        <v>1686</v>
      </c>
      <c r="Z205" t="str">
        <f>IFERROR(VLOOKUP(ROWS($Z$3:Z205),$X$3:$Y$992,2,0),"")</f>
        <v>Výroba optických a fotografických přístrojů a zařízení</v>
      </c>
    </row>
    <row r="206" spans="1:26">
      <c r="J206" s="300" t="s">
        <v>1688</v>
      </c>
      <c r="K206" s="288" t="s">
        <v>1689</v>
      </c>
      <c r="M206" s="289">
        <f>IF(ISNUMBER(SEARCH(ZAKL_DATA!$B$29,N206)),MAX($M$2:M205)+1,0)</f>
        <v>204</v>
      </c>
      <c r="N206" s="290" t="s">
        <v>1690</v>
      </c>
      <c r="O206" s="291" t="s">
        <v>1691</v>
      </c>
      <c r="Q206" s="292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0" t="s">
        <v>1690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0" t="s">
        <v>1690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0" t="s">
        <v>1690</v>
      </c>
      <c r="Z206" t="str">
        <f>IFERROR(VLOOKUP(ROWS($Z$3:Z206),$X$3:$Y$992,2,0),"")</f>
        <v>Výroba magnetických a optických médií</v>
      </c>
    </row>
    <row r="207" spans="1:26">
      <c r="J207" s="300" t="s">
        <v>1692</v>
      </c>
      <c r="K207" s="288" t="s">
        <v>1693</v>
      </c>
      <c r="M207" s="289">
        <f>IF(ISNUMBER(SEARCH(ZAKL_DATA!$B$29,N207)),MAX($M$2:M206)+1,0)</f>
        <v>205</v>
      </c>
      <c r="N207" s="290" t="s">
        <v>1694</v>
      </c>
      <c r="O207" s="291" t="s">
        <v>1695</v>
      </c>
      <c r="Q207" s="292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0" t="s">
        <v>1694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0" t="s">
        <v>1694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0" t="s">
        <v>1694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0" t="s">
        <v>1696</v>
      </c>
      <c r="K208" s="288" t="s">
        <v>1697</v>
      </c>
      <c r="M208" s="289">
        <f>IF(ISNUMBER(SEARCH(ZAKL_DATA!$B$29,N208)),MAX($M$2:M207)+1,0)</f>
        <v>206</v>
      </c>
      <c r="N208" s="290" t="s">
        <v>1698</v>
      </c>
      <c r="O208" s="305" t="s">
        <v>1699</v>
      </c>
      <c r="Q208" s="292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0" t="s">
        <v>1698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0" t="s">
        <v>1698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0" t="s">
        <v>1698</v>
      </c>
      <c r="Z208" t="str">
        <f>IFERROR(VLOOKUP(ROWS($Z$3:Z208),$X$3:$Y$992,2,0),"")</f>
        <v>Výroba baterií a akumulátorů</v>
      </c>
    </row>
    <row r="209" spans="10:26">
      <c r="J209" s="300" t="s">
        <v>1700</v>
      </c>
      <c r="K209" s="288" t="s">
        <v>1701</v>
      </c>
      <c r="M209" s="289">
        <f>IF(ISNUMBER(SEARCH(ZAKL_DATA!$B$29,N209)),MAX($M$2:M208)+1,0)</f>
        <v>207</v>
      </c>
      <c r="N209" s="290" t="s">
        <v>1702</v>
      </c>
      <c r="O209" s="291" t="s">
        <v>1703</v>
      </c>
      <c r="Q209" s="292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0" t="s">
        <v>1702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0" t="s">
        <v>1702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0" t="s">
        <v>1702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0" t="s">
        <v>1704</v>
      </c>
      <c r="K210" s="288" t="s">
        <v>1705</v>
      </c>
      <c r="M210" s="289">
        <f>IF(ISNUMBER(SEARCH(ZAKL_DATA!$B$29,N210)),MAX($M$2:M209)+1,0)</f>
        <v>208</v>
      </c>
      <c r="N210" s="290" t="s">
        <v>1706</v>
      </c>
      <c r="O210" s="291" t="s">
        <v>1707</v>
      </c>
      <c r="Q210" s="292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0" t="s">
        <v>1706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0" t="s">
        <v>1706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0" t="s">
        <v>1706</v>
      </c>
      <c r="Z210" t="str">
        <f>IFERROR(VLOOKUP(ROWS($Z$3:Z210),$X$3:$Y$992,2,0),"")</f>
        <v>Výroba elektrických osvětlovacích zařízení</v>
      </c>
    </row>
    <row r="211" spans="10:26">
      <c r="J211" s="300" t="s">
        <v>1708</v>
      </c>
      <c r="K211" s="288" t="s">
        <v>1709</v>
      </c>
      <c r="M211" s="289">
        <f>IF(ISNUMBER(SEARCH(ZAKL_DATA!$B$29,N211)),MAX($M$2:M210)+1,0)</f>
        <v>209</v>
      </c>
      <c r="N211" s="290" t="s">
        <v>1710</v>
      </c>
      <c r="O211" s="305" t="s">
        <v>1711</v>
      </c>
      <c r="Q211" s="292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0" t="s">
        <v>1710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0" t="s">
        <v>1710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0" t="s">
        <v>1710</v>
      </c>
      <c r="Z211" t="str">
        <f>IFERROR(VLOOKUP(ROWS($Z$3:Z211),$X$3:$Y$992,2,0),"")</f>
        <v>Výroba spotřebičů převážně pro domácnost</v>
      </c>
    </row>
    <row r="212" spans="10:26">
      <c r="J212" s="299" t="s">
        <v>1712</v>
      </c>
      <c r="K212" s="288" t="s">
        <v>1713</v>
      </c>
      <c r="M212" s="289">
        <f>IF(ISNUMBER(SEARCH(ZAKL_DATA!$B$29,N212)),MAX($M$2:M211)+1,0)</f>
        <v>210</v>
      </c>
      <c r="N212" s="290" t="s">
        <v>1714</v>
      </c>
      <c r="O212" s="291" t="s">
        <v>1715</v>
      </c>
      <c r="Q212" s="292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0" t="s">
        <v>1714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0" t="s">
        <v>1714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0" t="s">
        <v>1714</v>
      </c>
      <c r="Z212" t="str">
        <f>IFERROR(VLOOKUP(ROWS($Z$3:Z212),$X$3:$Y$992,2,0),"")</f>
        <v>Výroba ostatních elektrických zařízení</v>
      </c>
    </row>
    <row r="213" spans="10:26">
      <c r="J213" s="300" t="s">
        <v>1716</v>
      </c>
      <c r="K213" s="288" t="s">
        <v>1717</v>
      </c>
      <c r="M213" s="289">
        <f>IF(ISNUMBER(SEARCH(ZAKL_DATA!$B$29,N213)),MAX($M$2:M212)+1,0)</f>
        <v>211</v>
      </c>
      <c r="N213" s="290" t="s">
        <v>1718</v>
      </c>
      <c r="O213" s="291" t="s">
        <v>1719</v>
      </c>
      <c r="Q213" s="292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0" t="s">
        <v>1718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0" t="s">
        <v>1718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0" t="s">
        <v>1718</v>
      </c>
      <c r="Z213" t="str">
        <f>IFERROR(VLOOKUP(ROWS($Z$3:Z213),$X$3:$Y$992,2,0),"")</f>
        <v>Výroba strojů a zařízení pro všeobecné účely</v>
      </c>
    </row>
    <row r="214" spans="10:26">
      <c r="J214" s="299" t="s">
        <v>1720</v>
      </c>
      <c r="K214" s="288" t="s">
        <v>1721</v>
      </c>
      <c r="M214" s="289">
        <f>IF(ISNUMBER(SEARCH(ZAKL_DATA!$B$29,N214)),MAX($M$2:M213)+1,0)</f>
        <v>212</v>
      </c>
      <c r="N214" s="290" t="s">
        <v>1722</v>
      </c>
      <c r="O214" s="305" t="s">
        <v>1723</v>
      </c>
      <c r="Q214" s="292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0" t="s">
        <v>1722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0" t="s">
        <v>1722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0" t="s">
        <v>1722</v>
      </c>
      <c r="Z214" t="str">
        <f>IFERROR(VLOOKUP(ROWS($Z$3:Z214),$X$3:$Y$992,2,0),"")</f>
        <v>Výroba ostatních strojů a zařízení pro všeobecné účely</v>
      </c>
    </row>
    <row r="215" spans="10:26">
      <c r="J215" s="299" t="s">
        <v>1724</v>
      </c>
      <c r="K215" s="288" t="s">
        <v>1725</v>
      </c>
      <c r="M215" s="289">
        <f>IF(ISNUMBER(SEARCH(ZAKL_DATA!$B$29,N215)),MAX($M$2:M214)+1,0)</f>
        <v>213</v>
      </c>
      <c r="N215" s="290" t="s">
        <v>1726</v>
      </c>
      <c r="O215" s="291" t="s">
        <v>1727</v>
      </c>
      <c r="Q215" s="292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0" t="s">
        <v>1726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0" t="s">
        <v>1726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0" t="s">
        <v>1726</v>
      </c>
      <c r="Z215" t="str">
        <f>IFERROR(VLOOKUP(ROWS($Z$3:Z215),$X$3:$Y$992,2,0),"")</f>
        <v>Výroba zemědělských a lesnických strojů</v>
      </c>
    </row>
    <row r="216" spans="10:26">
      <c r="J216" s="300" t="s">
        <v>1728</v>
      </c>
      <c r="K216" s="288" t="s">
        <v>1729</v>
      </c>
      <c r="M216" s="289">
        <f>IF(ISNUMBER(SEARCH(ZAKL_DATA!$B$29,N216)),MAX($M$2:M215)+1,0)</f>
        <v>214</v>
      </c>
      <c r="N216" s="290" t="s">
        <v>1730</v>
      </c>
      <c r="O216" s="291" t="s">
        <v>1731</v>
      </c>
      <c r="Q216" s="292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0" t="s">
        <v>1730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0" t="s">
        <v>1730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0" t="s">
        <v>1730</v>
      </c>
      <c r="Z216" t="str">
        <f>IFERROR(VLOOKUP(ROWS($Z$3:Z216),$X$3:$Y$992,2,0),"")</f>
        <v>Výroba kovoobráběcích a ostatních obráběcích strojů</v>
      </c>
    </row>
    <row r="217" spans="10:26">
      <c r="J217" s="300" t="s">
        <v>1732</v>
      </c>
      <c r="K217" s="288" t="s">
        <v>1733</v>
      </c>
      <c r="M217" s="289">
        <f>IF(ISNUMBER(SEARCH(ZAKL_DATA!$B$29,N217)),MAX($M$2:M216)+1,0)</f>
        <v>215</v>
      </c>
      <c r="N217" s="290" t="s">
        <v>1734</v>
      </c>
      <c r="O217" s="291" t="s">
        <v>1735</v>
      </c>
      <c r="Q217" s="292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0" t="s">
        <v>1734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0" t="s">
        <v>1734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0" t="s">
        <v>1734</v>
      </c>
      <c r="Z217" t="str">
        <f>IFERROR(VLOOKUP(ROWS($Z$3:Z217),$X$3:$Y$992,2,0),"")</f>
        <v>Výroba ostatních strojů pro speciální účely</v>
      </c>
    </row>
    <row r="218" spans="10:26">
      <c r="J218" s="300" t="s">
        <v>1736</v>
      </c>
      <c r="K218" s="288" t="s">
        <v>1737</v>
      </c>
      <c r="M218" s="289">
        <f>IF(ISNUMBER(SEARCH(ZAKL_DATA!$B$29,N218)),MAX($M$2:M217)+1,0)</f>
        <v>216</v>
      </c>
      <c r="N218" s="290" t="s">
        <v>1738</v>
      </c>
      <c r="O218" s="291" t="s">
        <v>1739</v>
      </c>
      <c r="Q218" s="292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0" t="s">
        <v>1738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0" t="s">
        <v>1738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0" t="s">
        <v>1738</v>
      </c>
      <c r="Z218" t="str">
        <f>IFERROR(VLOOKUP(ROWS($Z$3:Z218),$X$3:$Y$992,2,0),"")</f>
        <v>Výroba motorových vozidel a jejich motorů</v>
      </c>
    </row>
    <row r="219" spans="10:26">
      <c r="J219" s="300" t="s">
        <v>1740</v>
      </c>
      <c r="K219" s="288" t="s">
        <v>1741</v>
      </c>
      <c r="M219" s="289">
        <f>IF(ISNUMBER(SEARCH(ZAKL_DATA!$B$29,N219)),MAX($M$2:M218)+1,0)</f>
        <v>217</v>
      </c>
      <c r="N219" s="290" t="s">
        <v>1742</v>
      </c>
      <c r="O219" s="291" t="s">
        <v>1743</v>
      </c>
      <c r="Q219" s="292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0" t="s">
        <v>1742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0" t="s">
        <v>1742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0" t="s">
        <v>1742</v>
      </c>
      <c r="Z219" t="str">
        <f>IFERROR(VLOOKUP(ROWS($Z$3:Z219),$X$3:$Y$992,2,0),"")</f>
        <v>Výroba karoserií motorových vozidel; výroba přívěsů a návěsů</v>
      </c>
    </row>
    <row r="220" spans="10:26">
      <c r="J220" s="300" t="s">
        <v>1744</v>
      </c>
      <c r="K220" s="288" t="s">
        <v>1745</v>
      </c>
      <c r="M220" s="289">
        <f>IF(ISNUMBER(SEARCH(ZAKL_DATA!$B$29,N220)),MAX($M$2:M219)+1,0)</f>
        <v>218</v>
      </c>
      <c r="N220" s="290" t="s">
        <v>1746</v>
      </c>
      <c r="O220" s="291" t="s">
        <v>1747</v>
      </c>
      <c r="Q220" s="292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0" t="s">
        <v>1746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0" t="s">
        <v>1746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0" t="s">
        <v>1746</v>
      </c>
      <c r="Z220" t="str">
        <f>IFERROR(VLOOKUP(ROWS($Z$3:Z220),$X$3:$Y$992,2,0),"")</f>
        <v>Výroba dílů a příslušenství pro motorová vozidla a jejich motory</v>
      </c>
    </row>
    <row r="221" spans="10:26">
      <c r="J221" s="300" t="s">
        <v>1748</v>
      </c>
      <c r="K221" s="288" t="s">
        <v>1749</v>
      </c>
      <c r="M221" s="289">
        <f>IF(ISNUMBER(SEARCH(ZAKL_DATA!$B$29,N221)),MAX($M$2:M220)+1,0)</f>
        <v>219</v>
      </c>
      <c r="N221" s="290" t="s">
        <v>1750</v>
      </c>
      <c r="O221" s="291" t="s">
        <v>1751</v>
      </c>
      <c r="Q221" s="292" t="str">
        <f>IFERROR(VLOOKUP(ROWS($Q$3:Q221),$M$3:$N$992,2,0),"")</f>
        <v>Stavba lodí a člunů</v>
      </c>
      <c r="R221">
        <f>IF(ISNUMBER(SEARCH('1Př1'!$A$32,N221)),MAX($M$2:M220)+1,0)</f>
        <v>219</v>
      </c>
      <c r="S221" s="290" t="s">
        <v>1750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0" t="s">
        <v>1750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0" t="s">
        <v>1750</v>
      </c>
      <c r="Z221" t="str">
        <f>IFERROR(VLOOKUP(ROWS($Z$3:Z221),$X$3:$Y$992,2,0),"")</f>
        <v>Stavba lodí a člunů</v>
      </c>
    </row>
    <row r="222" spans="10:26">
      <c r="J222" s="299" t="s">
        <v>1752</v>
      </c>
      <c r="K222" s="288" t="s">
        <v>1753</v>
      </c>
      <c r="M222" s="289">
        <f>IF(ISNUMBER(SEARCH(ZAKL_DATA!$B$29,N222)),MAX($M$2:M221)+1,0)</f>
        <v>220</v>
      </c>
      <c r="N222" s="290" t="s">
        <v>1754</v>
      </c>
      <c r="O222" s="305" t="s">
        <v>1755</v>
      </c>
      <c r="Q222" s="292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0" t="s">
        <v>1754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0" t="s">
        <v>1754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0" t="s">
        <v>1754</v>
      </c>
      <c r="Z222" t="str">
        <f>IFERROR(VLOOKUP(ROWS($Z$3:Z222),$X$3:$Y$992,2,0),"")</f>
        <v>Výroba železničních lokomotiv a vozového parku</v>
      </c>
    </row>
    <row r="223" spans="10:26">
      <c r="J223" s="300" t="s">
        <v>1756</v>
      </c>
      <c r="K223" s="288" t="s">
        <v>1757</v>
      </c>
      <c r="M223" s="289">
        <f>IF(ISNUMBER(SEARCH(ZAKL_DATA!$B$29,N223)),MAX($M$2:M222)+1,0)</f>
        <v>221</v>
      </c>
      <c r="N223" s="290" t="s">
        <v>1758</v>
      </c>
      <c r="O223" s="305" t="s">
        <v>1759</v>
      </c>
      <c r="Q223" s="292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0" t="s">
        <v>1758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0" t="s">
        <v>1758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0" t="s">
        <v>1758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0" t="s">
        <v>1760</v>
      </c>
      <c r="K224" s="288" t="s">
        <v>1761</v>
      </c>
      <c r="M224" s="289">
        <f>IF(ISNUMBER(SEARCH(ZAKL_DATA!$B$29,N224)),MAX($M$2:M223)+1,0)</f>
        <v>222</v>
      </c>
      <c r="N224" s="290" t="s">
        <v>1762</v>
      </c>
      <c r="O224" s="305" t="s">
        <v>1763</v>
      </c>
      <c r="Q224" s="292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0" t="s">
        <v>1762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0" t="s">
        <v>1762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0" t="s">
        <v>1762</v>
      </c>
      <c r="Z224" t="str">
        <f>IFERROR(VLOOKUP(ROWS($Z$3:Z224),$X$3:$Y$992,2,0),"")</f>
        <v>Výroba vojenských bojových vozidel</v>
      </c>
    </row>
    <row r="225" spans="10:26">
      <c r="J225" s="300" t="s">
        <v>1764</v>
      </c>
      <c r="K225" s="288" t="s">
        <v>1765</v>
      </c>
      <c r="M225" s="289">
        <f>IF(ISNUMBER(SEARCH(ZAKL_DATA!$B$29,N225)),MAX($M$2:M224)+1,0)</f>
        <v>223</v>
      </c>
      <c r="N225" s="290" t="s">
        <v>1766</v>
      </c>
      <c r="O225" s="305" t="s">
        <v>1767</v>
      </c>
      <c r="Q225" s="292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0" t="s">
        <v>1766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0" t="s">
        <v>1766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0" t="s">
        <v>1766</v>
      </c>
      <c r="Z225" t="str">
        <f>IFERROR(VLOOKUP(ROWS($Z$3:Z225),$X$3:$Y$992,2,0),"")</f>
        <v>Výroba dopravních prostředků a zařízení j. n.</v>
      </c>
    </row>
    <row r="226" spans="10:26">
      <c r="J226" s="300" t="s">
        <v>1768</v>
      </c>
      <c r="K226" s="288" t="s">
        <v>1769</v>
      </c>
      <c r="M226" s="289">
        <f>IF(ISNUMBER(SEARCH(ZAKL_DATA!$B$29,N226)),MAX($M$2:M225)+1,0)</f>
        <v>224</v>
      </c>
      <c r="N226" s="290" t="s">
        <v>1770</v>
      </c>
      <c r="O226" s="305" t="s">
        <v>1771</v>
      </c>
      <c r="Q226" s="292" t="str">
        <f>IFERROR(VLOOKUP(ROWS($Q$3:Q226),$M$3:$N$992,2,0),"")</f>
        <v>Mořský rybolov</v>
      </c>
      <c r="R226">
        <f>IF(ISNUMBER(SEARCH('1Př1'!$A$32,N226)),MAX($M$2:M225)+1,0)</f>
        <v>224</v>
      </c>
      <c r="S226" s="290" t="s">
        <v>1770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0" t="s">
        <v>1770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0" t="s">
        <v>1770</v>
      </c>
      <c r="Z226" t="str">
        <f>IFERROR(VLOOKUP(ROWS($Z$3:Z226),$X$3:$Y$992,2,0),"")</f>
        <v>Mořský rybolov</v>
      </c>
    </row>
    <row r="227" spans="10:26">
      <c r="J227" s="300" t="s">
        <v>1772</v>
      </c>
      <c r="K227" s="288" t="s">
        <v>1773</v>
      </c>
      <c r="M227" s="289">
        <f>IF(ISNUMBER(SEARCH(ZAKL_DATA!$B$29,N227)),MAX($M$2:M226)+1,0)</f>
        <v>225</v>
      </c>
      <c r="N227" s="290" t="s">
        <v>1774</v>
      </c>
      <c r="O227" s="305" t="s">
        <v>1775</v>
      </c>
      <c r="Q227" s="292" t="str">
        <f>IFERROR(VLOOKUP(ROWS($Q$3:Q227),$M$3:$N$992,2,0),"")</f>
        <v>Sladkovodní rybolov</v>
      </c>
      <c r="R227">
        <f>IF(ISNUMBER(SEARCH('1Př1'!$A$32,N227)),MAX($M$2:M226)+1,0)</f>
        <v>225</v>
      </c>
      <c r="S227" s="290" t="s">
        <v>1774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0" t="s">
        <v>1774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0" t="s">
        <v>1774</v>
      </c>
      <c r="Z227" t="str">
        <f>IFERROR(VLOOKUP(ROWS($Z$3:Z227),$X$3:$Y$992,2,0),"")</f>
        <v>Sladkovodní rybolov</v>
      </c>
    </row>
    <row r="228" spans="10:26">
      <c r="J228" s="300" t="s">
        <v>1776</v>
      </c>
      <c r="K228" s="288" t="s">
        <v>1777</v>
      </c>
      <c r="M228" s="289">
        <f>IF(ISNUMBER(SEARCH(ZAKL_DATA!$B$29,N228)),MAX($M$2:M227)+1,0)</f>
        <v>226</v>
      </c>
      <c r="N228" s="290" t="s">
        <v>1778</v>
      </c>
      <c r="O228" s="305" t="s">
        <v>1779</v>
      </c>
      <c r="Q228" s="292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0" t="s">
        <v>1778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0" t="s">
        <v>1778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0" t="s">
        <v>1778</v>
      </c>
      <c r="Z228" t="str">
        <f>IFERROR(VLOOKUP(ROWS($Z$3:Z228),$X$3:$Y$992,2,0),"")</f>
        <v>Výroba klenotů, bižuterie a příbuzných výrobků</v>
      </c>
    </row>
    <row r="229" spans="10:26">
      <c r="J229" s="300" t="s">
        <v>1780</v>
      </c>
      <c r="K229" s="288" t="s">
        <v>1781</v>
      </c>
      <c r="M229" s="289">
        <f>IF(ISNUMBER(SEARCH(ZAKL_DATA!$B$29,N229)),MAX($M$2:M228)+1,0)</f>
        <v>227</v>
      </c>
      <c r="N229" s="290" t="s">
        <v>1782</v>
      </c>
      <c r="O229" s="305" t="s">
        <v>1783</v>
      </c>
      <c r="Q229" s="292" t="str">
        <f>IFERROR(VLOOKUP(ROWS($Q$3:Q229),$M$3:$N$992,2,0),"")</f>
        <v>Mořská akvakultura</v>
      </c>
      <c r="R229">
        <f>IF(ISNUMBER(SEARCH('1Př1'!$A$32,N229)),MAX($M$2:M228)+1,0)</f>
        <v>227</v>
      </c>
      <c r="S229" s="290" t="s">
        <v>1782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0" t="s">
        <v>1782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0" t="s">
        <v>1782</v>
      </c>
      <c r="Z229" t="str">
        <f>IFERROR(VLOOKUP(ROWS($Z$3:Z229),$X$3:$Y$992,2,0),"")</f>
        <v>Mořská akvakultura</v>
      </c>
    </row>
    <row r="230" spans="10:26">
      <c r="J230" s="300" t="s">
        <v>1784</v>
      </c>
      <c r="K230" s="288" t="s">
        <v>1785</v>
      </c>
      <c r="M230" s="289">
        <f>IF(ISNUMBER(SEARCH(ZAKL_DATA!$B$29,N230)),MAX($M$2:M229)+1,0)</f>
        <v>228</v>
      </c>
      <c r="N230" s="290" t="s">
        <v>1786</v>
      </c>
      <c r="O230" s="305" t="s">
        <v>1787</v>
      </c>
      <c r="Q230" s="292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0" t="s">
        <v>1786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0" t="s">
        <v>1786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0" t="s">
        <v>1786</v>
      </c>
      <c r="Z230" t="str">
        <f>IFERROR(VLOOKUP(ROWS($Z$3:Z230),$X$3:$Y$992,2,0),"")</f>
        <v>Výroba hudebních nástrojů</v>
      </c>
    </row>
    <row r="231" spans="10:26">
      <c r="J231" s="300" t="s">
        <v>1788</v>
      </c>
      <c r="K231" s="288" t="s">
        <v>1789</v>
      </c>
      <c r="M231" s="289">
        <f>IF(ISNUMBER(SEARCH(ZAKL_DATA!$B$29,N231)),MAX($M$2:M230)+1,0)</f>
        <v>229</v>
      </c>
      <c r="N231" s="290" t="s">
        <v>1790</v>
      </c>
      <c r="O231" s="305" t="s">
        <v>1791</v>
      </c>
      <c r="Q231" s="292" t="str">
        <f>IFERROR(VLOOKUP(ROWS($Q$3:Q231),$M$3:$N$992,2,0),"")</f>
        <v>Sladkovodní akvakultura</v>
      </c>
      <c r="R231">
        <f>IF(ISNUMBER(SEARCH('1Př1'!$A$32,N231)),MAX($M$2:M230)+1,0)</f>
        <v>229</v>
      </c>
      <c r="S231" s="290" t="s">
        <v>1790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0" t="s">
        <v>1790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0" t="s">
        <v>1790</v>
      </c>
      <c r="Z231" t="str">
        <f>IFERROR(VLOOKUP(ROWS($Z$3:Z231),$X$3:$Y$992,2,0),"")</f>
        <v>Sladkovodní akvakultura</v>
      </c>
    </row>
    <row r="232" spans="10:26">
      <c r="J232" s="300" t="s">
        <v>1792</v>
      </c>
      <c r="K232" s="288" t="s">
        <v>1793</v>
      </c>
      <c r="M232" s="289">
        <f>IF(ISNUMBER(SEARCH(ZAKL_DATA!$B$29,N232)),MAX($M$2:M231)+1,0)</f>
        <v>230</v>
      </c>
      <c r="N232" s="290" t="s">
        <v>1794</v>
      </c>
      <c r="O232" s="305" t="s">
        <v>1795</v>
      </c>
      <c r="Q232" s="292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0" t="s">
        <v>1794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0" t="s">
        <v>1794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0" t="s">
        <v>1794</v>
      </c>
      <c r="Z232" t="str">
        <f>IFERROR(VLOOKUP(ROWS($Z$3:Z232),$X$3:$Y$992,2,0),"")</f>
        <v>Výroba sportovních potřeb</v>
      </c>
    </row>
    <row r="233" spans="10:26">
      <c r="J233" s="300" t="s">
        <v>1796</v>
      </c>
      <c r="K233" s="288" t="s">
        <v>1797</v>
      </c>
      <c r="M233" s="289">
        <f>IF(ISNUMBER(SEARCH(ZAKL_DATA!$B$29,N233)),MAX($M$2:M232)+1,0)</f>
        <v>231</v>
      </c>
      <c r="N233" s="290" t="s">
        <v>1798</v>
      </c>
      <c r="O233" s="305" t="s">
        <v>1799</v>
      </c>
      <c r="Q233" s="292" t="str">
        <f>IFERROR(VLOOKUP(ROWS($Q$3:Q233),$M$3:$N$992,2,0),"")</f>
        <v>Výroba her a hraček</v>
      </c>
      <c r="R233">
        <f>IF(ISNUMBER(SEARCH('1Př1'!$A$32,N233)),MAX($M$2:M232)+1,0)</f>
        <v>231</v>
      </c>
      <c r="S233" s="290" t="s">
        <v>1798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0" t="s">
        <v>1798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0" t="s">
        <v>1798</v>
      </c>
      <c r="Z233" t="str">
        <f>IFERROR(VLOOKUP(ROWS($Z$3:Z233),$X$3:$Y$992,2,0),"")</f>
        <v>Výroba her a hraček</v>
      </c>
    </row>
    <row r="234" spans="10:26">
      <c r="J234" s="300" t="s">
        <v>1800</v>
      </c>
      <c r="K234" s="288" t="s">
        <v>1801</v>
      </c>
      <c r="M234" s="289">
        <f>IF(ISNUMBER(SEARCH(ZAKL_DATA!$B$29,N234)),MAX($M$2:M233)+1,0)</f>
        <v>232</v>
      </c>
      <c r="N234" s="290" t="s">
        <v>1802</v>
      </c>
      <c r="O234" s="305" t="s">
        <v>1803</v>
      </c>
      <c r="Q234" s="292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0" t="s">
        <v>1802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0" t="s">
        <v>1802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0" t="s">
        <v>1802</v>
      </c>
      <c r="Z234" t="str">
        <f>IFERROR(VLOOKUP(ROWS($Z$3:Z234),$X$3:$Y$992,2,0),"")</f>
        <v>Výroba lékařských a dentálních nástrojů a potřeb</v>
      </c>
    </row>
    <row r="235" spans="10:26">
      <c r="J235" s="300" t="s">
        <v>1804</v>
      </c>
      <c r="K235" s="288" t="s">
        <v>1805</v>
      </c>
      <c r="M235" s="289">
        <f>IF(ISNUMBER(SEARCH(ZAKL_DATA!$B$29,N235)),MAX($M$2:M234)+1,0)</f>
        <v>233</v>
      </c>
      <c r="N235" s="290" t="s">
        <v>1806</v>
      </c>
      <c r="O235" s="305" t="s">
        <v>1807</v>
      </c>
      <c r="Q235" s="292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0" t="s">
        <v>1806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0" t="s">
        <v>1806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0" t="s">
        <v>1806</v>
      </c>
      <c r="Z235" t="str">
        <f>IFERROR(VLOOKUP(ROWS($Z$3:Z235),$X$3:$Y$992,2,0),"")</f>
        <v>Zpracovatelský průmysl j. n.</v>
      </c>
    </row>
    <row r="236" spans="10:26">
      <c r="J236" s="300" t="s">
        <v>1808</v>
      </c>
      <c r="K236" s="288" t="s">
        <v>1809</v>
      </c>
      <c r="M236" s="289">
        <f>IF(ISNUMBER(SEARCH(ZAKL_DATA!$B$29,N236)),MAX($M$2:M235)+1,0)</f>
        <v>234</v>
      </c>
      <c r="N236" s="290" t="s">
        <v>1810</v>
      </c>
      <c r="O236" s="305" t="s">
        <v>1811</v>
      </c>
      <c r="Q236" s="292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0" t="s">
        <v>1810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0" t="s">
        <v>1810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0" t="s">
        <v>1810</v>
      </c>
      <c r="Z236" t="str">
        <f>IFERROR(VLOOKUP(ROWS($Z$3:Z236),$X$3:$Y$992,2,0),"")</f>
        <v>Opravy kovodělných výrobků, strojů a zařízení</v>
      </c>
    </row>
    <row r="237" spans="10:26">
      <c r="J237" s="299" t="s">
        <v>1812</v>
      </c>
      <c r="K237" s="288" t="s">
        <v>1813</v>
      </c>
      <c r="M237" s="289">
        <f>IF(ISNUMBER(SEARCH(ZAKL_DATA!$B$29,N237)),MAX($M$2:M236)+1,0)</f>
        <v>235</v>
      </c>
      <c r="N237" s="290" t="s">
        <v>1814</v>
      </c>
      <c r="O237" s="305" t="s">
        <v>1815</v>
      </c>
      <c r="Q237" s="292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0" t="s">
        <v>1814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0" t="s">
        <v>1814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0" t="s">
        <v>1814</v>
      </c>
      <c r="Z237" t="str">
        <f>IFERROR(VLOOKUP(ROWS($Z$3:Z237),$X$3:$Y$992,2,0),"")</f>
        <v>Instalace průmyslových strojů a zařízení</v>
      </c>
    </row>
    <row r="238" spans="10:26">
      <c r="J238" s="300" t="s">
        <v>1816</v>
      </c>
      <c r="K238" s="288" t="s">
        <v>1817</v>
      </c>
      <c r="M238" s="289">
        <f>IF(ISNUMBER(SEARCH(ZAKL_DATA!$B$29,N238)),MAX($M$2:M237)+1,0)</f>
        <v>236</v>
      </c>
      <c r="N238" s="290" t="s">
        <v>1818</v>
      </c>
      <c r="O238" s="305" t="s">
        <v>1819</v>
      </c>
      <c r="Q238" s="292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0" t="s">
        <v>1818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0" t="s">
        <v>1818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0" t="s">
        <v>1818</v>
      </c>
      <c r="Z238" t="str">
        <f>IFERROR(VLOOKUP(ROWS($Z$3:Z238),$X$3:$Y$992,2,0),"")</f>
        <v>Výroba, přenos a rozvod elektřiny</v>
      </c>
    </row>
    <row r="239" spans="10:26">
      <c r="J239" s="300" t="s">
        <v>1820</v>
      </c>
      <c r="K239" s="288" t="s">
        <v>1821</v>
      </c>
      <c r="M239" s="289">
        <f>IF(ISNUMBER(SEARCH(ZAKL_DATA!$B$29,N239)),MAX($M$2:M238)+1,0)</f>
        <v>237</v>
      </c>
      <c r="N239" s="290" t="s">
        <v>1822</v>
      </c>
      <c r="O239" s="305" t="s">
        <v>1823</v>
      </c>
      <c r="Q239" s="292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0" t="s">
        <v>1822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0" t="s">
        <v>1822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0" t="s">
        <v>1822</v>
      </c>
      <c r="Z239" t="str">
        <f>IFERROR(VLOOKUP(ROWS($Z$3:Z239),$X$3:$Y$992,2,0),"")</f>
        <v>Výroba plynu; rozvod plynných paliv prostřednictvím sítí</v>
      </c>
    </row>
    <row r="240" spans="10:26">
      <c r="J240" s="300" t="s">
        <v>1824</v>
      </c>
      <c r="K240" s="288" t="s">
        <v>1825</v>
      </c>
      <c r="M240" s="289">
        <f>IF(ISNUMBER(SEARCH(ZAKL_DATA!$B$29,N240)),MAX($M$2:M239)+1,0)</f>
        <v>238</v>
      </c>
      <c r="N240" s="290" t="s">
        <v>1826</v>
      </c>
      <c r="O240" s="305" t="s">
        <v>1827</v>
      </c>
      <c r="Q240" s="292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0" t="s">
        <v>1826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0" t="s">
        <v>1826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0" t="s">
        <v>1826</v>
      </c>
      <c r="Z240" t="str">
        <f>IFERROR(VLOOKUP(ROWS($Z$3:Z240),$X$3:$Y$992,2,0),"")</f>
        <v>Výroba a rozvod tepla a klimatizovaného vzduchu, výroba ledu</v>
      </c>
    </row>
    <row r="241" spans="10:26">
      <c r="J241" s="300" t="s">
        <v>1828</v>
      </c>
      <c r="K241" s="288" t="s">
        <v>1829</v>
      </c>
      <c r="M241" s="289">
        <f>IF(ISNUMBER(SEARCH(ZAKL_DATA!$B$29,N241)),MAX($M$2:M240)+1,0)</f>
        <v>239</v>
      </c>
      <c r="N241" s="290" t="s">
        <v>1830</v>
      </c>
      <c r="O241" s="305" t="s">
        <v>1831</v>
      </c>
      <c r="Q241" s="292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0" t="s">
        <v>1830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0" t="s">
        <v>1830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0" t="s">
        <v>1830</v>
      </c>
      <c r="Z241" t="str">
        <f>IFERROR(VLOOKUP(ROWS($Z$3:Z241),$X$3:$Y$992,2,0),"")</f>
        <v>Shromažďování a sběr odpadů</v>
      </c>
    </row>
    <row r="242" spans="10:26">
      <c r="J242" s="300" t="s">
        <v>1832</v>
      </c>
      <c r="K242" s="288" t="s">
        <v>1833</v>
      </c>
      <c r="M242" s="289">
        <f>IF(ISNUMBER(SEARCH(ZAKL_DATA!$B$29,N242)),MAX($M$2:M241)+1,0)</f>
        <v>240</v>
      </c>
      <c r="N242" s="290" t="s">
        <v>1834</v>
      </c>
      <c r="O242" s="305" t="s">
        <v>1835</v>
      </c>
      <c r="Q242" s="292" t="str">
        <f>IFERROR(VLOOKUP(ROWS($Q$3:Q242),$M$3:$N$992,2,0),"")</f>
        <v>Odstraňování odpadů</v>
      </c>
      <c r="R242">
        <f>IF(ISNUMBER(SEARCH('1Př1'!$A$32,N242)),MAX($M$2:M241)+1,0)</f>
        <v>240</v>
      </c>
      <c r="S242" s="290" t="s">
        <v>1834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0" t="s">
        <v>1834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0" t="s">
        <v>1834</v>
      </c>
      <c r="Z242" t="str">
        <f>IFERROR(VLOOKUP(ROWS($Z$3:Z242),$X$3:$Y$992,2,0),"")</f>
        <v>Odstraňování odpadů</v>
      </c>
    </row>
    <row r="243" spans="10:26">
      <c r="J243" s="300" t="s">
        <v>1836</v>
      </c>
      <c r="K243" s="288" t="s">
        <v>1837</v>
      </c>
      <c r="M243" s="289">
        <f>IF(ISNUMBER(SEARCH(ZAKL_DATA!$B$29,N243)),MAX($M$2:M242)+1,0)</f>
        <v>241</v>
      </c>
      <c r="N243" s="290" t="s">
        <v>1838</v>
      </c>
      <c r="O243" s="305" t="s">
        <v>1839</v>
      </c>
      <c r="Q243" s="292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0" t="s">
        <v>1838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0" t="s">
        <v>1838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0" t="s">
        <v>1838</v>
      </c>
      <c r="Z243" t="str">
        <f>IFERROR(VLOOKUP(ROWS($Z$3:Z243),$X$3:$Y$992,2,0),"")</f>
        <v>Úprava odpadů k dalšímu využití</v>
      </c>
    </row>
    <row r="244" spans="10:26">
      <c r="J244" s="300" t="s">
        <v>1840</v>
      </c>
      <c r="K244" s="288" t="s">
        <v>1841</v>
      </c>
      <c r="M244" s="289">
        <f>IF(ISNUMBER(SEARCH(ZAKL_DATA!$B$29,N244)),MAX($M$2:M243)+1,0)</f>
        <v>242</v>
      </c>
      <c r="N244" s="290" t="s">
        <v>1842</v>
      </c>
      <c r="O244" s="305" t="s">
        <v>1843</v>
      </c>
      <c r="Q244" s="292" t="str">
        <f>IFERROR(VLOOKUP(ROWS($Q$3:Q244),$M$3:$N$992,2,0),"")</f>
        <v>Developerská činnost</v>
      </c>
      <c r="R244">
        <f>IF(ISNUMBER(SEARCH('1Př1'!$A$32,N244)),MAX($M$2:M243)+1,0)</f>
        <v>242</v>
      </c>
      <c r="S244" s="290" t="s">
        <v>1842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0" t="s">
        <v>1842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0" t="s">
        <v>1842</v>
      </c>
      <c r="Z244" t="str">
        <f>IFERROR(VLOOKUP(ROWS($Z$3:Z244),$X$3:$Y$992,2,0),"")</f>
        <v>Developerská činnost</v>
      </c>
    </row>
    <row r="245" spans="10:26">
      <c r="J245" s="300" t="s">
        <v>1844</v>
      </c>
      <c r="K245" s="288" t="s">
        <v>1845</v>
      </c>
      <c r="M245" s="289">
        <f>IF(ISNUMBER(SEARCH(ZAKL_DATA!$B$29,N245)),MAX($M$2:M244)+1,0)</f>
        <v>243</v>
      </c>
      <c r="N245" s="290" t="s">
        <v>1846</v>
      </c>
      <c r="O245" s="305" t="s">
        <v>1847</v>
      </c>
      <c r="Q245" s="292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0" t="s">
        <v>1846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0" t="s">
        <v>1846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0" t="s">
        <v>1846</v>
      </c>
      <c r="Z245" t="str">
        <f>IFERROR(VLOOKUP(ROWS($Z$3:Z245),$X$3:$Y$992,2,0),"")</f>
        <v>Výstavba bytových a nebytových budov</v>
      </c>
    </row>
    <row r="246" spans="10:26">
      <c r="J246" s="300" t="s">
        <v>1848</v>
      </c>
      <c r="K246" s="288" t="s">
        <v>1849</v>
      </c>
      <c r="M246" s="289">
        <f>IF(ISNUMBER(SEARCH(ZAKL_DATA!$B$29,N246)),MAX($M$2:M245)+1,0)</f>
        <v>244</v>
      </c>
      <c r="N246" s="290" t="s">
        <v>1850</v>
      </c>
      <c r="O246" s="305" t="s">
        <v>1851</v>
      </c>
      <c r="Q246" s="292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0" t="s">
        <v>1850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0" t="s">
        <v>1850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0" t="s">
        <v>1850</v>
      </c>
      <c r="Z246" t="str">
        <f>IFERROR(VLOOKUP(ROWS($Z$3:Z246),$X$3:$Y$992,2,0),"")</f>
        <v>Výstavba silnic a železnic</v>
      </c>
    </row>
    <row r="247" spans="10:26">
      <c r="J247" s="300" t="s">
        <v>1852</v>
      </c>
      <c r="K247" s="288" t="s">
        <v>1853</v>
      </c>
      <c r="M247" s="289">
        <f>IF(ISNUMBER(SEARCH(ZAKL_DATA!$B$29,N247)),MAX($M$2:M246)+1,0)</f>
        <v>245</v>
      </c>
      <c r="N247" s="290" t="s">
        <v>1854</v>
      </c>
      <c r="O247" s="305" t="s">
        <v>1855</v>
      </c>
      <c r="Q247" s="292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0" t="s">
        <v>1854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0" t="s">
        <v>1854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0" t="s">
        <v>1854</v>
      </c>
      <c r="Z247" t="str">
        <f>IFERROR(VLOOKUP(ROWS($Z$3:Z247),$X$3:$Y$992,2,0),"")</f>
        <v>Výstavba inženýrských sítí</v>
      </c>
    </row>
    <row r="248" spans="10:26">
      <c r="J248" s="300" t="s">
        <v>1856</v>
      </c>
      <c r="K248" s="288" t="s">
        <v>1857</v>
      </c>
      <c r="M248" s="289">
        <f>IF(ISNUMBER(SEARCH(ZAKL_DATA!$B$29,N248)),MAX($M$2:M247)+1,0)</f>
        <v>246</v>
      </c>
      <c r="N248" s="290" t="s">
        <v>1858</v>
      </c>
      <c r="O248" s="305" t="s">
        <v>1859</v>
      </c>
      <c r="Q248" s="292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0" t="s">
        <v>1858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0" t="s">
        <v>1858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0" t="s">
        <v>1858</v>
      </c>
      <c r="Z248" t="str">
        <f>IFERROR(VLOOKUP(ROWS($Z$3:Z248),$X$3:$Y$992,2,0),"")</f>
        <v>Výstavba ostatních staveb</v>
      </c>
    </row>
    <row r="249" spans="10:26">
      <c r="J249" s="300" t="s">
        <v>1860</v>
      </c>
      <c r="K249" s="288" t="s">
        <v>1861</v>
      </c>
      <c r="M249" s="289">
        <f>IF(ISNUMBER(SEARCH(ZAKL_DATA!$B$29,N249)),MAX($M$2:M248)+1,0)</f>
        <v>247</v>
      </c>
      <c r="N249" s="290" t="s">
        <v>1862</v>
      </c>
      <c r="O249" s="305" t="s">
        <v>1863</v>
      </c>
      <c r="Q249" s="292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0" t="s">
        <v>1862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0" t="s">
        <v>1862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0" t="s">
        <v>1862</v>
      </c>
      <c r="Z249" t="str">
        <f>IFERROR(VLOOKUP(ROWS($Z$3:Z249),$X$3:$Y$992,2,0),"")</f>
        <v>Demolice a příprava staveniště</v>
      </c>
    </row>
    <row r="250" spans="10:26">
      <c r="J250" s="300" t="s">
        <v>1864</v>
      </c>
      <c r="K250" s="288" t="s">
        <v>1865</v>
      </c>
      <c r="M250" s="289">
        <f>IF(ISNUMBER(SEARCH(ZAKL_DATA!$B$29,N250)),MAX($M$2:M249)+1,0)</f>
        <v>248</v>
      </c>
      <c r="N250" s="290" t="s">
        <v>1866</v>
      </c>
      <c r="O250" s="305" t="s">
        <v>1867</v>
      </c>
      <c r="Q250" s="292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0" t="s">
        <v>1866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0" t="s">
        <v>1866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0" t="s">
        <v>1866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0" t="s">
        <v>1868</v>
      </c>
      <c r="K251" s="288" t="s">
        <v>1869</v>
      </c>
      <c r="M251" s="289">
        <f>IF(ISNUMBER(SEARCH(ZAKL_DATA!$B$29,N251)),MAX($M$2:M250)+1,0)</f>
        <v>249</v>
      </c>
      <c r="N251" s="290" t="s">
        <v>1870</v>
      </c>
      <c r="O251" s="305" t="s">
        <v>1871</v>
      </c>
      <c r="Q251" s="292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0" t="s">
        <v>1870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0" t="s">
        <v>1870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0" t="s">
        <v>1870</v>
      </c>
      <c r="Z251" t="str">
        <f>IFERROR(VLOOKUP(ROWS($Z$3:Z251),$X$3:$Y$992,2,0),"")</f>
        <v>Kompletační a dokončovací práce</v>
      </c>
    </row>
    <row r="252" spans="10:26">
      <c r="J252" s="300" t="s">
        <v>1872</v>
      </c>
      <c r="K252" s="288" t="s">
        <v>1873</v>
      </c>
      <c r="M252" s="289">
        <f>IF(ISNUMBER(SEARCH(ZAKL_DATA!$B$29,N252)),MAX($M$2:M251)+1,0)</f>
        <v>250</v>
      </c>
      <c r="N252" s="290" t="s">
        <v>1874</v>
      </c>
      <c r="O252" s="305" t="s">
        <v>1875</v>
      </c>
      <c r="Q252" s="292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0" t="s">
        <v>1874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0" t="s">
        <v>1874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0" t="s">
        <v>1874</v>
      </c>
      <c r="Z252" t="str">
        <f>IFERROR(VLOOKUP(ROWS($Z$3:Z252),$X$3:$Y$992,2,0),"")</f>
        <v>Ostatní specializované stavební činnosti</v>
      </c>
    </row>
    <row r="253" spans="10:26" ht="13.5" thickBot="1">
      <c r="J253" s="312" t="s">
        <v>1876</v>
      </c>
      <c r="K253" s="288" t="s">
        <v>1877</v>
      </c>
      <c r="M253" s="289">
        <f>IF(ISNUMBER(SEARCH(ZAKL_DATA!$B$29,N253)),MAX($M$2:M252)+1,0)</f>
        <v>251</v>
      </c>
      <c r="N253" s="290" t="s">
        <v>1878</v>
      </c>
      <c r="O253" s="305" t="s">
        <v>1879</v>
      </c>
      <c r="Q253" s="292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0" t="s">
        <v>1878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0" t="s">
        <v>1878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0" t="s">
        <v>1878</v>
      </c>
      <c r="Z253" t="str">
        <f>IFERROR(VLOOKUP(ROWS($Z$3:Z253),$X$3:$Y$992,2,0),"")</f>
        <v>Obchod s motorovými vozidly, kromě motocyklů</v>
      </c>
    </row>
    <row r="254" spans="10:26">
      <c r="M254" s="289">
        <f>IF(ISNUMBER(SEARCH(ZAKL_DATA!$B$29,N254)),MAX($M$2:M253)+1,0)</f>
        <v>252</v>
      </c>
      <c r="N254" s="290" t="s">
        <v>1880</v>
      </c>
      <c r="O254" s="305" t="s">
        <v>1881</v>
      </c>
      <c r="Q254" s="292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0" t="s">
        <v>1880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0" t="s">
        <v>1880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0" t="s">
        <v>1880</v>
      </c>
      <c r="Z254" t="str">
        <f>IFERROR(VLOOKUP(ROWS($Z$3:Z254),$X$3:$Y$992,2,0),"")</f>
        <v>Opravy a údržba motorových vozidel, kromě motocyklů</v>
      </c>
    </row>
    <row r="255" spans="10:26">
      <c r="M255" s="289">
        <f>IF(ISNUMBER(SEARCH(ZAKL_DATA!$B$29,N255)),MAX($M$2:M254)+1,0)</f>
        <v>253</v>
      </c>
      <c r="N255" s="290" t="s">
        <v>1882</v>
      </c>
      <c r="O255" s="305" t="s">
        <v>1883</v>
      </c>
      <c r="Q255" s="292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0" t="s">
        <v>1882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0" t="s">
        <v>1882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0" t="s">
        <v>1882</v>
      </c>
      <c r="Z255" t="str">
        <f>IFERROR(VLOOKUP(ROWS($Z$3:Z255),$X$3:$Y$992,2,0),"")</f>
        <v>Obchod s díly a příslušenstvím pro motorová vozidla, kromě motocyklů</v>
      </c>
    </row>
    <row r="256" spans="10:26">
      <c r="M256" s="289">
        <f>IF(ISNUMBER(SEARCH(ZAKL_DATA!$B$29,N256)),MAX($M$2:M255)+1,0)</f>
        <v>254</v>
      </c>
      <c r="N256" s="290" t="s">
        <v>1884</v>
      </c>
      <c r="O256" s="305" t="s">
        <v>1885</v>
      </c>
      <c r="Q256" s="292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0" t="s">
        <v>1884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0" t="s">
        <v>1884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0" t="s">
        <v>1884</v>
      </c>
      <c r="Z256" t="str">
        <f>IFERROR(VLOOKUP(ROWS($Z$3:Z256),$X$3:$Y$992,2,0),"")</f>
        <v>Obchod, opravy a údržba motocyklů, jejich dílů a příslušenství</v>
      </c>
    </row>
    <row r="257" spans="13:26">
      <c r="M257" s="289">
        <f>IF(ISNUMBER(SEARCH(ZAKL_DATA!$B$29,N257)),MAX($M$2:M256)+1,0)</f>
        <v>255</v>
      </c>
      <c r="N257" s="290" t="s">
        <v>1886</v>
      </c>
      <c r="O257" s="305" t="s">
        <v>1887</v>
      </c>
      <c r="Q257" s="292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0" t="s">
        <v>1886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0" t="s">
        <v>1886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0" t="s">
        <v>1886</v>
      </c>
      <c r="Z257" t="str">
        <f>IFERROR(VLOOKUP(ROWS($Z$3:Z257),$X$3:$Y$992,2,0),"")</f>
        <v>Zprostředkování velkoobchodu a velkoobchod v zastoupení</v>
      </c>
    </row>
    <row r="258" spans="13:26">
      <c r="M258" s="289">
        <f>IF(ISNUMBER(SEARCH(ZAKL_DATA!$B$29,N258)),MAX($M$2:M257)+1,0)</f>
        <v>256</v>
      </c>
      <c r="N258" s="290" t="s">
        <v>1888</v>
      </c>
      <c r="O258" s="305" t="s">
        <v>1889</v>
      </c>
      <c r="Q258" s="292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0" t="s">
        <v>1888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0" t="s">
        <v>1888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0" t="s">
        <v>1888</v>
      </c>
      <c r="Z258" t="str">
        <f>IFERROR(VLOOKUP(ROWS($Z$3:Z258),$X$3:$Y$992,2,0),"")</f>
        <v>Velkoobchod se základními zemědělskými produkty a živými zvířaty</v>
      </c>
    </row>
    <row r="259" spans="13:26">
      <c r="M259" s="289">
        <f>IF(ISNUMBER(SEARCH(ZAKL_DATA!$B$29,N259)),MAX($M$2:M258)+1,0)</f>
        <v>257</v>
      </c>
      <c r="N259" s="290" t="s">
        <v>1890</v>
      </c>
      <c r="O259" s="305" t="s">
        <v>1891</v>
      </c>
      <c r="Q259" s="292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0" t="s">
        <v>1890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0" t="s">
        <v>1890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0" t="s">
        <v>1890</v>
      </c>
      <c r="Z259" t="str">
        <f>IFERROR(VLOOKUP(ROWS($Z$3:Z259),$X$3:$Y$992,2,0),"")</f>
        <v>Velkoobchod s potravinami, nápoji a tabákovými výrobky</v>
      </c>
    </row>
    <row r="260" spans="13:26">
      <c r="M260" s="289">
        <f>IF(ISNUMBER(SEARCH(ZAKL_DATA!$B$29,N260)),MAX($M$2:M259)+1,0)</f>
        <v>258</v>
      </c>
      <c r="N260" s="290" t="s">
        <v>1892</v>
      </c>
      <c r="O260" s="305" t="s">
        <v>1893</v>
      </c>
      <c r="Q260" s="292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0" t="s">
        <v>1892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0" t="s">
        <v>1892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0" t="s">
        <v>1892</v>
      </c>
      <c r="Z260" t="str">
        <f>IFERROR(VLOOKUP(ROWS($Z$3:Z260),$X$3:$Y$992,2,0),"")</f>
        <v>Velkoobchod s výrobky převážně pro domácnost</v>
      </c>
    </row>
    <row r="261" spans="13:26">
      <c r="M261" s="289">
        <f>IF(ISNUMBER(SEARCH(ZAKL_DATA!$B$29,N261)),MAX($M$2:M260)+1,0)</f>
        <v>259</v>
      </c>
      <c r="N261" s="290" t="s">
        <v>1894</v>
      </c>
      <c r="O261" s="305" t="s">
        <v>1895</v>
      </c>
      <c r="Q261" s="292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0" t="s">
        <v>1894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0" t="s">
        <v>1894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0" t="s">
        <v>1894</v>
      </c>
      <c r="Z261" t="str">
        <f>IFERROR(VLOOKUP(ROWS($Z$3:Z261),$X$3:$Y$992,2,0),"")</f>
        <v>Velkoobchod s počítačovým a komunikačním zařízením</v>
      </c>
    </row>
    <row r="262" spans="13:26">
      <c r="M262" s="289">
        <f>IF(ISNUMBER(SEARCH(ZAKL_DATA!$B$29,N262)),MAX($M$2:M261)+1,0)</f>
        <v>260</v>
      </c>
      <c r="N262" s="290" t="s">
        <v>1896</v>
      </c>
      <c r="O262" s="305" t="s">
        <v>1897</v>
      </c>
      <c r="Q262" s="292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0" t="s">
        <v>1896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0" t="s">
        <v>1896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0" t="s">
        <v>1896</v>
      </c>
      <c r="Z262" t="str">
        <f>IFERROR(VLOOKUP(ROWS($Z$3:Z262),$X$3:$Y$992,2,0),"")</f>
        <v>Velkoobchod s ostatními stroji, strojním zařízením a příslušenstvím</v>
      </c>
    </row>
    <row r="263" spans="13:26">
      <c r="M263" s="289">
        <f>IF(ISNUMBER(SEARCH(ZAKL_DATA!$B$29,N263)),MAX($M$2:M262)+1,0)</f>
        <v>261</v>
      </c>
      <c r="N263" s="290" t="s">
        <v>1898</v>
      </c>
      <c r="O263" s="305" t="s">
        <v>1899</v>
      </c>
      <c r="Q263" s="292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0" t="s">
        <v>1898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0" t="s">
        <v>1898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0" t="s">
        <v>1898</v>
      </c>
      <c r="Z263" t="str">
        <f>IFERROR(VLOOKUP(ROWS($Z$3:Z263),$X$3:$Y$992,2,0),"")</f>
        <v>Ostatní specializovaný velkoobchod</v>
      </c>
    </row>
    <row r="264" spans="13:26">
      <c r="M264" s="289">
        <f>IF(ISNUMBER(SEARCH(ZAKL_DATA!$B$29,N264)),MAX($M$2:M263)+1,0)</f>
        <v>262</v>
      </c>
      <c r="N264" s="290" t="s">
        <v>1900</v>
      </c>
      <c r="O264" s="305" t="s">
        <v>1901</v>
      </c>
      <c r="Q264" s="292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0" t="s">
        <v>1900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0" t="s">
        <v>1900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0" t="s">
        <v>1900</v>
      </c>
      <c r="Z264" t="str">
        <f>IFERROR(VLOOKUP(ROWS($Z$3:Z264),$X$3:$Y$992,2,0),"")</f>
        <v>Nespecializovaný velkoobchod</v>
      </c>
    </row>
    <row r="265" spans="13:26">
      <c r="M265" s="289">
        <f>IF(ISNUMBER(SEARCH(ZAKL_DATA!$B$29,N265)),MAX($M$2:M264)+1,0)</f>
        <v>263</v>
      </c>
      <c r="N265" s="290" t="s">
        <v>1902</v>
      </c>
      <c r="O265" s="305" t="s">
        <v>1903</v>
      </c>
      <c r="Q265" s="292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0" t="s">
        <v>1902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0" t="s">
        <v>1902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0" t="s">
        <v>1902</v>
      </c>
      <c r="Z265" t="str">
        <f>IFERROR(VLOOKUP(ROWS($Z$3:Z265),$X$3:$Y$992,2,0),"")</f>
        <v>Maloobchod v nespecializovaných prodejnách</v>
      </c>
    </row>
    <row r="266" spans="13:26">
      <c r="M266" s="289">
        <f>IF(ISNUMBER(SEARCH(ZAKL_DATA!$B$29,N266)),MAX($M$2:M265)+1,0)</f>
        <v>264</v>
      </c>
      <c r="N266" s="290" t="s">
        <v>1904</v>
      </c>
      <c r="O266" s="305" t="s">
        <v>1905</v>
      </c>
      <c r="Q266" s="292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0" t="s">
        <v>1904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0" t="s">
        <v>1904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0" t="s">
        <v>1904</v>
      </c>
      <c r="Z266" t="str">
        <f>IFERROR(VLOOKUP(ROWS($Z$3:Z266),$X$3:$Y$992,2,0),"")</f>
        <v>Maloobchod s potravinami,nápoji a tabák.výrobky ve specializ.prodejnách</v>
      </c>
    </row>
    <row r="267" spans="13:26">
      <c r="M267" s="289">
        <f>IF(ISNUMBER(SEARCH(ZAKL_DATA!$B$29,N267)),MAX($M$2:M266)+1,0)</f>
        <v>265</v>
      </c>
      <c r="N267" s="290" t="s">
        <v>1906</v>
      </c>
      <c r="O267" s="305" t="s">
        <v>1907</v>
      </c>
      <c r="Q267" s="292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0" t="s">
        <v>1906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0" t="s">
        <v>1906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0" t="s">
        <v>1906</v>
      </c>
      <c r="Z267" t="str">
        <f>IFERROR(VLOOKUP(ROWS($Z$3:Z267),$X$3:$Y$992,2,0),"")</f>
        <v>Maloobchod s pohonnými hmotami ve specializovaných prodejnách</v>
      </c>
    </row>
    <row r="268" spans="13:26">
      <c r="M268" s="289">
        <f>IF(ISNUMBER(SEARCH(ZAKL_DATA!$B$29,N268)),MAX($M$2:M267)+1,0)</f>
        <v>266</v>
      </c>
      <c r="N268" s="290" t="s">
        <v>1908</v>
      </c>
      <c r="O268" s="305" t="s">
        <v>1909</v>
      </c>
      <c r="Q268" s="292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0" t="s">
        <v>1908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0" t="s">
        <v>1908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0" t="s">
        <v>1908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89">
        <f>IF(ISNUMBER(SEARCH(ZAKL_DATA!$B$29,N269)),MAX($M$2:M268)+1,0)</f>
        <v>267</v>
      </c>
      <c r="N269" s="290" t="s">
        <v>1910</v>
      </c>
      <c r="O269" s="305" t="s">
        <v>1911</v>
      </c>
      <c r="Q269" s="292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0" t="s">
        <v>1910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0" t="s">
        <v>1910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0" t="s">
        <v>1910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89">
        <f>IF(ISNUMBER(SEARCH(ZAKL_DATA!$B$29,N270)),MAX($M$2:M269)+1,0)</f>
        <v>268</v>
      </c>
      <c r="N270" s="290" t="s">
        <v>1912</v>
      </c>
      <c r="O270" s="305" t="s">
        <v>1913</v>
      </c>
      <c r="Q270" s="292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0" t="s">
        <v>1912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0" t="s">
        <v>1912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0" t="s">
        <v>1912</v>
      </c>
      <c r="Z270" t="str">
        <f>IFERROR(VLOOKUP(ROWS($Z$3:Z270),$X$3:$Y$992,2,0),"")</f>
        <v>Maloobchod s výrobky pro kulturní rozhled a rekreaci ve specializ.prod.</v>
      </c>
    </row>
    <row r="271" spans="13:26">
      <c r="M271" s="289">
        <f>IF(ISNUMBER(SEARCH(ZAKL_DATA!$B$29,N271)),MAX($M$2:M270)+1,0)</f>
        <v>269</v>
      </c>
      <c r="N271" s="290" t="s">
        <v>1914</v>
      </c>
      <c r="O271" s="305" t="s">
        <v>1915</v>
      </c>
      <c r="Q271" s="292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0" t="s">
        <v>1914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0" t="s">
        <v>1914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0" t="s">
        <v>1914</v>
      </c>
      <c r="Z271" t="str">
        <f>IFERROR(VLOOKUP(ROWS($Z$3:Z271),$X$3:$Y$992,2,0),"")</f>
        <v>Maloobchod s ostatním zbožím ve specializovaných prodejnách</v>
      </c>
    </row>
    <row r="272" spans="13:26">
      <c r="M272" s="289">
        <f>IF(ISNUMBER(SEARCH(ZAKL_DATA!$B$29,N272)),MAX($M$2:M271)+1,0)</f>
        <v>270</v>
      </c>
      <c r="N272" s="290" t="s">
        <v>1916</v>
      </c>
      <c r="O272" s="305" t="s">
        <v>1917</v>
      </c>
      <c r="Q272" s="292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0" t="s">
        <v>1916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0" t="s">
        <v>1916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0" t="s">
        <v>1916</v>
      </c>
      <c r="Z272" t="str">
        <f>IFERROR(VLOOKUP(ROWS($Z$3:Z272),$X$3:$Y$992,2,0),"")</f>
        <v>Maloobchod ve stáncích a na trzích</v>
      </c>
    </row>
    <row r="273" spans="13:26">
      <c r="M273" s="289">
        <f>IF(ISNUMBER(SEARCH(ZAKL_DATA!$B$29,N273)),MAX($M$2:M272)+1,0)</f>
        <v>271</v>
      </c>
      <c r="N273" s="290" t="s">
        <v>1918</v>
      </c>
      <c r="O273" s="305" t="s">
        <v>1919</v>
      </c>
      <c r="Q273" s="292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0" t="s">
        <v>1918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0" t="s">
        <v>1918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0" t="s">
        <v>1918</v>
      </c>
      <c r="Z273" t="str">
        <f>IFERROR(VLOOKUP(ROWS($Z$3:Z273),$X$3:$Y$992,2,0),"")</f>
        <v>Maloobchod mimo prodejny, stánky a trhy</v>
      </c>
    </row>
    <row r="274" spans="13:26">
      <c r="M274" s="289">
        <f>IF(ISNUMBER(SEARCH(ZAKL_DATA!$B$29,N274)),MAX($M$2:M273)+1,0)</f>
        <v>272</v>
      </c>
      <c r="N274" s="290" t="s">
        <v>1920</v>
      </c>
      <c r="O274" s="305" t="s">
        <v>1921</v>
      </c>
      <c r="Q274" s="292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0" t="s">
        <v>1920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0" t="s">
        <v>1920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0" t="s">
        <v>1920</v>
      </c>
      <c r="Z274" t="str">
        <f>IFERROR(VLOOKUP(ROWS($Z$3:Z274),$X$3:$Y$992,2,0),"")</f>
        <v>železniční osobní doprava meziměstská</v>
      </c>
    </row>
    <row r="275" spans="13:26">
      <c r="M275" s="289">
        <f>IF(ISNUMBER(SEARCH(ZAKL_DATA!$B$29,N275)),MAX($M$2:M274)+1,0)</f>
        <v>273</v>
      </c>
      <c r="N275" s="290" t="s">
        <v>1922</v>
      </c>
      <c r="O275" s="305" t="s">
        <v>1923</v>
      </c>
      <c r="Q275" s="292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0" t="s">
        <v>1922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0" t="s">
        <v>1922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0" t="s">
        <v>1922</v>
      </c>
      <c r="Z275" t="str">
        <f>IFERROR(VLOOKUP(ROWS($Z$3:Z275),$X$3:$Y$992,2,0),"")</f>
        <v>železniční nákladní doprava</v>
      </c>
    </row>
    <row r="276" spans="13:26">
      <c r="M276" s="289">
        <f>IF(ISNUMBER(SEARCH(ZAKL_DATA!$B$29,N276)),MAX($M$2:M275)+1,0)</f>
        <v>274</v>
      </c>
      <c r="N276" s="290" t="s">
        <v>1924</v>
      </c>
      <c r="O276" s="305" t="s">
        <v>1925</v>
      </c>
      <c r="Q276" s="292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0" t="s">
        <v>1924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0" t="s">
        <v>1924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0" t="s">
        <v>1924</v>
      </c>
      <c r="Z276" t="str">
        <f>IFERROR(VLOOKUP(ROWS($Z$3:Z276),$X$3:$Y$992,2,0),"")</f>
        <v>Ostatní pozemní osobní doprava</v>
      </c>
    </row>
    <row r="277" spans="13:26">
      <c r="M277" s="289">
        <f>IF(ISNUMBER(SEARCH(ZAKL_DATA!$B$29,N277)),MAX($M$2:M276)+1,0)</f>
        <v>275</v>
      </c>
      <c r="N277" s="290" t="s">
        <v>1926</v>
      </c>
      <c r="O277" s="305" t="s">
        <v>1927</v>
      </c>
      <c r="Q277" s="292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0" t="s">
        <v>1926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0" t="s">
        <v>1926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0" t="s">
        <v>1926</v>
      </c>
      <c r="Z277" t="str">
        <f>IFERROR(VLOOKUP(ROWS($Z$3:Z277),$X$3:$Y$992,2,0),"")</f>
        <v>Silniční nákladní doprava a stěhovací služby</v>
      </c>
    </row>
    <row r="278" spans="13:26">
      <c r="M278" s="289">
        <f>IF(ISNUMBER(SEARCH(ZAKL_DATA!$B$29,N278)),MAX($M$2:M277)+1,0)</f>
        <v>276</v>
      </c>
      <c r="N278" s="290" t="s">
        <v>1928</v>
      </c>
      <c r="O278" s="305" t="s">
        <v>1929</v>
      </c>
      <c r="Q278" s="292" t="str">
        <f>IFERROR(VLOOKUP(ROWS($Q$3:Q278),$M$3:$N$992,2,0),"")</f>
        <v>Potrubní doprava</v>
      </c>
      <c r="R278">
        <f>IF(ISNUMBER(SEARCH('1Př1'!$A$32,N278)),MAX($M$2:M277)+1,0)</f>
        <v>276</v>
      </c>
      <c r="S278" s="290" t="s">
        <v>1928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0" t="s">
        <v>1928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0" t="s">
        <v>1928</v>
      </c>
      <c r="Z278" t="str">
        <f>IFERROR(VLOOKUP(ROWS($Z$3:Z278),$X$3:$Y$992,2,0),"")</f>
        <v>Potrubní doprava</v>
      </c>
    </row>
    <row r="279" spans="13:26">
      <c r="M279" s="289">
        <f>IF(ISNUMBER(SEARCH(ZAKL_DATA!$B$29,N279)),MAX($M$2:M278)+1,0)</f>
        <v>277</v>
      </c>
      <c r="N279" s="290" t="s">
        <v>1930</v>
      </c>
      <c r="O279" s="305" t="s">
        <v>1931</v>
      </c>
      <c r="Q279" s="292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0" t="s">
        <v>1930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0" t="s">
        <v>1930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0" t="s">
        <v>1930</v>
      </c>
      <c r="Z279" t="str">
        <f>IFERROR(VLOOKUP(ROWS($Z$3:Z279),$X$3:$Y$992,2,0),"")</f>
        <v>Námořní a pobřežní osobní doprava</v>
      </c>
    </row>
    <row r="280" spans="13:26">
      <c r="M280" s="289">
        <f>IF(ISNUMBER(SEARCH(ZAKL_DATA!$B$29,N280)),MAX($M$2:M279)+1,0)</f>
        <v>278</v>
      </c>
      <c r="N280" s="290" t="s">
        <v>1932</v>
      </c>
      <c r="O280" s="305" t="s">
        <v>1933</v>
      </c>
      <c r="Q280" s="292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0" t="s">
        <v>1932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0" t="s">
        <v>1932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0" t="s">
        <v>1932</v>
      </c>
      <c r="Z280" t="str">
        <f>IFERROR(VLOOKUP(ROWS($Z$3:Z280),$X$3:$Y$992,2,0),"")</f>
        <v>Námořní a pobřežní nákladní doprava</v>
      </c>
    </row>
    <row r="281" spans="13:26">
      <c r="M281" s="289">
        <f>IF(ISNUMBER(SEARCH(ZAKL_DATA!$B$29,N281)),MAX($M$2:M280)+1,0)</f>
        <v>279</v>
      </c>
      <c r="N281" s="290" t="s">
        <v>1934</v>
      </c>
      <c r="O281" s="305" t="s">
        <v>1935</v>
      </c>
      <c r="Q281" s="292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0" t="s">
        <v>1934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0" t="s">
        <v>1934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0" t="s">
        <v>1934</v>
      </c>
      <c r="Z281" t="str">
        <f>IFERROR(VLOOKUP(ROWS($Z$3:Z281),$X$3:$Y$992,2,0),"")</f>
        <v>Vnitrozemská vodní osobní doprava</v>
      </c>
    </row>
    <row r="282" spans="13:26">
      <c r="M282" s="289">
        <f>IF(ISNUMBER(SEARCH(ZAKL_DATA!$B$29,N282)),MAX($M$2:M281)+1,0)</f>
        <v>280</v>
      </c>
      <c r="N282" s="290" t="s">
        <v>1936</v>
      </c>
      <c r="O282" s="305" t="s">
        <v>1937</v>
      </c>
      <c r="Q282" s="292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0" t="s">
        <v>1936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0" t="s">
        <v>1936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0" t="s">
        <v>1936</v>
      </c>
      <c r="Z282" t="str">
        <f>IFERROR(VLOOKUP(ROWS($Z$3:Z282),$X$3:$Y$992,2,0),"")</f>
        <v>Vnitrozemská vodní nákladní doprava</v>
      </c>
    </row>
    <row r="283" spans="13:26">
      <c r="M283" s="289">
        <f>IF(ISNUMBER(SEARCH(ZAKL_DATA!$B$29,N283)),MAX($M$2:M282)+1,0)</f>
        <v>281</v>
      </c>
      <c r="N283" s="290" t="s">
        <v>1938</v>
      </c>
      <c r="O283" s="305" t="s">
        <v>1939</v>
      </c>
      <c r="Q283" s="292" t="str">
        <f>IFERROR(VLOOKUP(ROWS($Q$3:Q283),$M$3:$N$992,2,0),"")</f>
        <v>Letecká osobní doprava</v>
      </c>
      <c r="R283">
        <f>IF(ISNUMBER(SEARCH('1Př1'!$A$32,N283)),MAX($M$2:M282)+1,0)</f>
        <v>281</v>
      </c>
      <c r="S283" s="290" t="s">
        <v>1938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0" t="s">
        <v>1938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0" t="s">
        <v>1938</v>
      </c>
      <c r="Z283" t="str">
        <f>IFERROR(VLOOKUP(ROWS($Z$3:Z283),$X$3:$Y$992,2,0),"")</f>
        <v>Letecká osobní doprava</v>
      </c>
    </row>
    <row r="284" spans="13:26">
      <c r="M284" s="289">
        <f>IF(ISNUMBER(SEARCH(ZAKL_DATA!$B$29,N284)),MAX($M$2:M283)+1,0)</f>
        <v>282</v>
      </c>
      <c r="N284" s="290" t="s">
        <v>1940</v>
      </c>
      <c r="O284" s="305" t="s">
        <v>1941</v>
      </c>
      <c r="Q284" s="292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0" t="s">
        <v>1940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0" t="s">
        <v>1940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0" t="s">
        <v>1940</v>
      </c>
      <c r="Z284" t="str">
        <f>IFERROR(VLOOKUP(ROWS($Z$3:Z284),$X$3:$Y$992,2,0),"")</f>
        <v>Letecká nákladní doprava a kosmická doprava</v>
      </c>
    </row>
    <row r="285" spans="13:26">
      <c r="M285" s="289">
        <f>IF(ISNUMBER(SEARCH(ZAKL_DATA!$B$29,N285)),MAX($M$2:M284)+1,0)</f>
        <v>283</v>
      </c>
      <c r="N285" s="290" t="s">
        <v>1942</v>
      </c>
      <c r="O285" s="305" t="s">
        <v>1943</v>
      </c>
      <c r="Q285" s="292" t="str">
        <f>IFERROR(VLOOKUP(ROWS($Q$3:Q285),$M$3:$N$992,2,0),"")</f>
        <v>Skladování</v>
      </c>
      <c r="R285">
        <f>IF(ISNUMBER(SEARCH('1Př1'!$A$32,N285)),MAX($M$2:M284)+1,0)</f>
        <v>283</v>
      </c>
      <c r="S285" s="290" t="s">
        <v>1942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0" t="s">
        <v>1942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0" t="s">
        <v>1942</v>
      </c>
      <c r="Z285" t="str">
        <f>IFERROR(VLOOKUP(ROWS($Z$3:Z285),$X$3:$Y$992,2,0),"")</f>
        <v>Skladování</v>
      </c>
    </row>
    <row r="286" spans="13:26">
      <c r="M286" s="289">
        <f>IF(ISNUMBER(SEARCH(ZAKL_DATA!$B$29,N286)),MAX($M$2:M285)+1,0)</f>
        <v>284</v>
      </c>
      <c r="N286" s="290" t="s">
        <v>1944</v>
      </c>
      <c r="O286" s="305" t="s">
        <v>1945</v>
      </c>
      <c r="Q286" s="292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0" t="s">
        <v>1944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0" t="s">
        <v>1944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0" t="s">
        <v>1944</v>
      </c>
      <c r="Z286" t="str">
        <f>IFERROR(VLOOKUP(ROWS($Z$3:Z286),$X$3:$Y$992,2,0),"")</f>
        <v>Vedlejší činnosti v dopravě</v>
      </c>
    </row>
    <row r="287" spans="13:26">
      <c r="M287" s="289">
        <f>IF(ISNUMBER(SEARCH(ZAKL_DATA!$B$29,N287)),MAX($M$2:M286)+1,0)</f>
        <v>285</v>
      </c>
      <c r="N287" s="290" t="s">
        <v>1946</v>
      </c>
      <c r="O287" s="305" t="s">
        <v>1947</v>
      </c>
      <c r="Q287" s="292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0" t="s">
        <v>1946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0" t="s">
        <v>1946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0" t="s">
        <v>1946</v>
      </c>
      <c r="Z287" t="str">
        <f>IFERROR(VLOOKUP(ROWS($Z$3:Z287),$X$3:$Y$992,2,0),"")</f>
        <v>Základní poštovní služby poskytované na základě poštovní licence</v>
      </c>
    </row>
    <row r="288" spans="13:26">
      <c r="M288" s="289">
        <f>IF(ISNUMBER(SEARCH(ZAKL_DATA!$B$29,N288)),MAX($M$2:M287)+1,0)</f>
        <v>286</v>
      </c>
      <c r="N288" s="290" t="s">
        <v>1948</v>
      </c>
      <c r="O288" s="305" t="s">
        <v>1949</v>
      </c>
      <c r="Q288" s="292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0" t="s">
        <v>1948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0" t="s">
        <v>1948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0" t="s">
        <v>1948</v>
      </c>
      <c r="Z288" t="str">
        <f>IFERROR(VLOOKUP(ROWS($Z$3:Z288),$X$3:$Y$992,2,0),"")</f>
        <v>Ostatní poštovní a kurýrní činnosti</v>
      </c>
    </row>
    <row r="289" spans="13:26">
      <c r="M289" s="289">
        <f>IF(ISNUMBER(SEARCH(ZAKL_DATA!$B$29,N289)),MAX($M$2:M288)+1,0)</f>
        <v>287</v>
      </c>
      <c r="N289" s="290" t="s">
        <v>1950</v>
      </c>
      <c r="O289" s="305" t="s">
        <v>1951</v>
      </c>
      <c r="Q289" s="292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0" t="s">
        <v>1950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0" t="s">
        <v>1950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0" t="s">
        <v>1950</v>
      </c>
      <c r="Z289" t="str">
        <f>IFERROR(VLOOKUP(ROWS($Z$3:Z289),$X$3:$Y$992,2,0),"")</f>
        <v>Ubytování v hotelích a podobných ubytovacích zařízeních</v>
      </c>
    </row>
    <row r="290" spans="13:26">
      <c r="M290" s="289">
        <f>IF(ISNUMBER(SEARCH(ZAKL_DATA!$B$29,N290)),MAX($M$2:M289)+1,0)</f>
        <v>288</v>
      </c>
      <c r="N290" s="290" t="s">
        <v>1952</v>
      </c>
      <c r="O290" s="305" t="s">
        <v>1953</v>
      </c>
      <c r="Q290" s="292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0" t="s">
        <v>1952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0" t="s">
        <v>1952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0" t="s">
        <v>1952</v>
      </c>
      <c r="Z290" t="str">
        <f>IFERROR(VLOOKUP(ROWS($Z$3:Z290),$X$3:$Y$992,2,0),"")</f>
        <v>Rekreační a ostatní krátkodobé ubytování</v>
      </c>
    </row>
    <row r="291" spans="13:26">
      <c r="M291" s="289">
        <f>IF(ISNUMBER(SEARCH(ZAKL_DATA!$B$29,N291)),MAX($M$2:M290)+1,0)</f>
        <v>289</v>
      </c>
      <c r="N291" s="290" t="s">
        <v>1954</v>
      </c>
      <c r="O291" s="305" t="s">
        <v>1955</v>
      </c>
      <c r="Q291" s="292" t="str">
        <f>IFERROR(VLOOKUP(ROWS($Q$3:Q291),$M$3:$N$992,2,0),"")</f>
        <v>Kempy a tábořiště</v>
      </c>
      <c r="R291">
        <f>IF(ISNUMBER(SEARCH('1Př1'!$A$32,N291)),MAX($M$2:M290)+1,0)</f>
        <v>289</v>
      </c>
      <c r="S291" s="290" t="s">
        <v>1954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0" t="s">
        <v>1954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0" t="s">
        <v>1954</v>
      </c>
      <c r="Z291" t="str">
        <f>IFERROR(VLOOKUP(ROWS($Z$3:Z291),$X$3:$Y$992,2,0),"")</f>
        <v>Kempy a tábořiště</v>
      </c>
    </row>
    <row r="292" spans="13:26">
      <c r="M292" s="289">
        <f>IF(ISNUMBER(SEARCH(ZAKL_DATA!$B$29,N292)),MAX($M$2:M291)+1,0)</f>
        <v>290</v>
      </c>
      <c r="N292" s="290" t="s">
        <v>1956</v>
      </c>
      <c r="O292" s="305" t="s">
        <v>1957</v>
      </c>
      <c r="Q292" s="292" t="str">
        <f>IFERROR(VLOOKUP(ROWS($Q$3:Q292),$M$3:$N$992,2,0),"")</f>
        <v>Ostatní ubytování</v>
      </c>
      <c r="R292">
        <f>IF(ISNUMBER(SEARCH('1Př1'!$A$32,N292)),MAX($M$2:M291)+1,0)</f>
        <v>290</v>
      </c>
      <c r="S292" s="290" t="s">
        <v>1956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0" t="s">
        <v>1956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0" t="s">
        <v>1956</v>
      </c>
      <c r="Z292" t="str">
        <f>IFERROR(VLOOKUP(ROWS($Z$3:Z292),$X$3:$Y$992,2,0),"")</f>
        <v>Ostatní ubytování</v>
      </c>
    </row>
    <row r="293" spans="13:26">
      <c r="M293" s="289">
        <f>IF(ISNUMBER(SEARCH(ZAKL_DATA!$B$29,N293)),MAX($M$2:M292)+1,0)</f>
        <v>291</v>
      </c>
      <c r="N293" s="290" t="s">
        <v>1958</v>
      </c>
      <c r="O293" s="305" t="s">
        <v>1959</v>
      </c>
      <c r="Q293" s="292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0" t="s">
        <v>1958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0" t="s">
        <v>1958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0" t="s">
        <v>1958</v>
      </c>
      <c r="Z293" t="str">
        <f>IFERROR(VLOOKUP(ROWS($Z$3:Z293),$X$3:$Y$992,2,0),"")</f>
        <v>Stravování v restauracích, u stánků a v mobilních zařízeních</v>
      </c>
    </row>
    <row r="294" spans="13:26">
      <c r="M294" s="289">
        <f>IF(ISNUMBER(SEARCH(ZAKL_DATA!$B$29,N294)),MAX($M$2:M293)+1,0)</f>
        <v>292</v>
      </c>
      <c r="N294" s="290" t="s">
        <v>1960</v>
      </c>
      <c r="O294" s="305" t="s">
        <v>1961</v>
      </c>
      <c r="Q294" s="292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0" t="s">
        <v>1960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0" t="s">
        <v>1960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0" t="s">
        <v>1960</v>
      </c>
      <c r="Z294" t="str">
        <f>IFERROR(VLOOKUP(ROWS($Z$3:Z294),$X$3:$Y$992,2,0),"")</f>
        <v>Poskytování cateringových a ostatních stravovacích služeb</v>
      </c>
    </row>
    <row r="295" spans="13:26">
      <c r="M295" s="289">
        <f>IF(ISNUMBER(SEARCH(ZAKL_DATA!$B$29,N295)),MAX($M$2:M294)+1,0)</f>
        <v>293</v>
      </c>
      <c r="N295" s="290" t="s">
        <v>1962</v>
      </c>
      <c r="O295" s="305" t="s">
        <v>1963</v>
      </c>
      <c r="Q295" s="292" t="str">
        <f>IFERROR(VLOOKUP(ROWS($Q$3:Q295),$M$3:$N$992,2,0),"")</f>
        <v>Pohostinství</v>
      </c>
      <c r="R295">
        <f>IF(ISNUMBER(SEARCH('1Př1'!$A$32,N295)),MAX($M$2:M294)+1,0)</f>
        <v>293</v>
      </c>
      <c r="S295" s="290" t="s">
        <v>1962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0" t="s">
        <v>1962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0" t="s">
        <v>1962</v>
      </c>
      <c r="Z295" t="str">
        <f>IFERROR(VLOOKUP(ROWS($Z$3:Z295),$X$3:$Y$992,2,0),"")</f>
        <v>Pohostinství</v>
      </c>
    </row>
    <row r="296" spans="13:26">
      <c r="M296" s="289">
        <f>IF(ISNUMBER(SEARCH(ZAKL_DATA!$B$29,N296)),MAX($M$2:M295)+1,0)</f>
        <v>294</v>
      </c>
      <c r="N296" s="290" t="s">
        <v>1964</v>
      </c>
      <c r="O296" s="305" t="s">
        <v>1965</v>
      </c>
      <c r="Q296" s="292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0" t="s">
        <v>1964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0" t="s">
        <v>1964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0" t="s">
        <v>1964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89">
        <f>IF(ISNUMBER(SEARCH(ZAKL_DATA!$B$29,N297)),MAX($M$2:M296)+1,0)</f>
        <v>295</v>
      </c>
      <c r="N297" s="290" t="s">
        <v>1966</v>
      </c>
      <c r="O297" s="305" t="s">
        <v>1967</v>
      </c>
      <c r="Q297" s="292" t="str">
        <f>IFERROR(VLOOKUP(ROWS($Q$3:Q297),$M$3:$N$992,2,0),"")</f>
        <v>Vydávání softwaru</v>
      </c>
      <c r="R297">
        <f>IF(ISNUMBER(SEARCH('1Př1'!$A$32,N297)),MAX($M$2:M296)+1,0)</f>
        <v>295</v>
      </c>
      <c r="S297" s="290" t="s">
        <v>1966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0" t="s">
        <v>1966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0" t="s">
        <v>1966</v>
      </c>
      <c r="Z297" t="str">
        <f>IFERROR(VLOOKUP(ROWS($Z$3:Z297),$X$3:$Y$992,2,0),"")</f>
        <v>Vydávání softwaru</v>
      </c>
    </row>
    <row r="298" spans="13:26">
      <c r="M298" s="289">
        <f>IF(ISNUMBER(SEARCH(ZAKL_DATA!$B$29,N298)),MAX($M$2:M297)+1,0)</f>
        <v>296</v>
      </c>
      <c r="N298" s="290" t="s">
        <v>1968</v>
      </c>
      <c r="O298" s="305" t="s">
        <v>1969</v>
      </c>
      <c r="Q298" s="292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0" t="s">
        <v>1968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0" t="s">
        <v>1968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0" t="s">
        <v>1968</v>
      </c>
      <c r="Z298" t="str">
        <f>IFERROR(VLOOKUP(ROWS($Z$3:Z298),$X$3:$Y$992,2,0),"")</f>
        <v>Činnosti v oblasti filmů, videozáznamů a televizních programů</v>
      </c>
    </row>
    <row r="299" spans="13:26">
      <c r="M299" s="289">
        <f>IF(ISNUMBER(SEARCH(ZAKL_DATA!$B$29,N299)),MAX($M$2:M298)+1,0)</f>
        <v>297</v>
      </c>
      <c r="N299" s="290" t="s">
        <v>1970</v>
      </c>
      <c r="O299" s="305" t="s">
        <v>1971</v>
      </c>
      <c r="Q299" s="292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0" t="s">
        <v>1970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0" t="s">
        <v>1970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0" t="s">
        <v>1970</v>
      </c>
      <c r="Z299" t="str">
        <f>IFERROR(VLOOKUP(ROWS($Z$3:Z299),$X$3:$Y$992,2,0),"")</f>
        <v>Pořizování zvukových nahrávek a hudební vydavatelské činnosti</v>
      </c>
    </row>
    <row r="300" spans="13:26">
      <c r="M300" s="289">
        <f>IF(ISNUMBER(SEARCH(ZAKL_DATA!$B$29,N300)),MAX($M$2:M299)+1,0)</f>
        <v>298</v>
      </c>
      <c r="N300" s="290" t="s">
        <v>1972</v>
      </c>
      <c r="O300" s="305" t="s">
        <v>1973</v>
      </c>
      <c r="Q300" s="292" t="str">
        <f>IFERROR(VLOOKUP(ROWS($Q$3:Q300),$M$3:$N$992,2,0),"")</f>
        <v>Rozhlasové vysílání</v>
      </c>
      <c r="R300">
        <f>IF(ISNUMBER(SEARCH('1Př1'!$A$32,N300)),MAX($M$2:M299)+1,0)</f>
        <v>298</v>
      </c>
      <c r="S300" s="290" t="s">
        <v>1972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0" t="s">
        <v>1972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0" t="s">
        <v>1972</v>
      </c>
      <c r="Z300" t="str">
        <f>IFERROR(VLOOKUP(ROWS($Z$3:Z300),$X$3:$Y$992,2,0),"")</f>
        <v>Rozhlasové vysílání</v>
      </c>
    </row>
    <row r="301" spans="13:26">
      <c r="M301" s="289">
        <f>IF(ISNUMBER(SEARCH(ZAKL_DATA!$B$29,N301)),MAX($M$2:M300)+1,0)</f>
        <v>299</v>
      </c>
      <c r="N301" s="290" t="s">
        <v>1974</v>
      </c>
      <c r="O301" s="305" t="s">
        <v>1975</v>
      </c>
      <c r="Q301" s="292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0" t="s">
        <v>1974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0" t="s">
        <v>1974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0" t="s">
        <v>1974</v>
      </c>
      <c r="Z301" t="str">
        <f>IFERROR(VLOOKUP(ROWS($Z$3:Z301),$X$3:$Y$992,2,0),"")</f>
        <v>Tvorba televizních programů a televizní vysílání</v>
      </c>
    </row>
    <row r="302" spans="13:26">
      <c r="M302" s="289">
        <f>IF(ISNUMBER(SEARCH(ZAKL_DATA!$B$29,N302)),MAX($M$2:M301)+1,0)</f>
        <v>300</v>
      </c>
      <c r="N302" s="290" t="s">
        <v>1976</v>
      </c>
      <c r="O302" s="305" t="s">
        <v>1977</v>
      </c>
      <c r="Q302" s="292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0" t="s">
        <v>1976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0" t="s">
        <v>1976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0" t="s">
        <v>1976</v>
      </c>
      <c r="Z302" t="str">
        <f>IFERROR(VLOOKUP(ROWS($Z$3:Z302),$X$3:$Y$992,2,0),"")</f>
        <v>Činnosti související s pevnou telekomunikační sítí</v>
      </c>
    </row>
    <row r="303" spans="13:26">
      <c r="M303" s="289">
        <f>IF(ISNUMBER(SEARCH(ZAKL_DATA!$B$29,N303)),MAX($M$2:M302)+1,0)</f>
        <v>301</v>
      </c>
      <c r="N303" s="290" t="s">
        <v>1978</v>
      </c>
      <c r="O303" s="305" t="s">
        <v>1979</v>
      </c>
      <c r="Q303" s="292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0" t="s">
        <v>1978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0" t="s">
        <v>1978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0" t="s">
        <v>1978</v>
      </c>
      <c r="Z303" t="str">
        <f>IFERROR(VLOOKUP(ROWS($Z$3:Z303),$X$3:$Y$992,2,0),"")</f>
        <v>Činnosti související s bezdrátovou telekomunikační sítí</v>
      </c>
    </row>
    <row r="304" spans="13:26">
      <c r="M304" s="289">
        <f>IF(ISNUMBER(SEARCH(ZAKL_DATA!$B$29,N304)),MAX($M$2:M303)+1,0)</f>
        <v>302</v>
      </c>
      <c r="N304" s="290" t="s">
        <v>1980</v>
      </c>
      <c r="O304" s="305" t="s">
        <v>1981</v>
      </c>
      <c r="Q304" s="292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0" t="s">
        <v>1980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0" t="s">
        <v>1980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0" t="s">
        <v>1980</v>
      </c>
      <c r="Z304" t="str">
        <f>IFERROR(VLOOKUP(ROWS($Z$3:Z304),$X$3:$Y$992,2,0),"")</f>
        <v>Činnosti související se satelitní telekomunikační sítí</v>
      </c>
    </row>
    <row r="305" spans="13:26">
      <c r="M305" s="289">
        <f>IF(ISNUMBER(SEARCH(ZAKL_DATA!$B$29,N305)),MAX($M$2:M304)+1,0)</f>
        <v>303</v>
      </c>
      <c r="N305" s="290" t="s">
        <v>1982</v>
      </c>
      <c r="O305" s="305" t="s">
        <v>1983</v>
      </c>
      <c r="Q305" s="292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0" t="s">
        <v>1982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0" t="s">
        <v>1982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0" t="s">
        <v>1982</v>
      </c>
      <c r="Z305" t="str">
        <f>IFERROR(VLOOKUP(ROWS($Z$3:Z305),$X$3:$Y$992,2,0),"")</f>
        <v>Ostatní telekomunikační činnosti</v>
      </c>
    </row>
    <row r="306" spans="13:26">
      <c r="M306" s="289">
        <f>IF(ISNUMBER(SEARCH(ZAKL_DATA!$B$29,N306)),MAX($M$2:M305)+1,0)</f>
        <v>304</v>
      </c>
      <c r="N306" s="290" t="s">
        <v>1984</v>
      </c>
      <c r="O306" s="305" t="s">
        <v>1985</v>
      </c>
      <c r="Q306" s="292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0" t="s">
        <v>1984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0" t="s">
        <v>1984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0" t="s">
        <v>1984</v>
      </c>
      <c r="Z306" t="str">
        <f>IFERROR(VLOOKUP(ROWS($Z$3:Z306),$X$3:$Y$992,2,0),"")</f>
        <v>Činnosti souvis.se zprac.dat a hostingem;činnosti souvis.s web.portály</v>
      </c>
    </row>
    <row r="307" spans="13:26">
      <c r="M307" s="289">
        <f>IF(ISNUMBER(SEARCH(ZAKL_DATA!$B$29,N307)),MAX($M$2:M306)+1,0)</f>
        <v>305</v>
      </c>
      <c r="N307" s="290" t="s">
        <v>1986</v>
      </c>
      <c r="O307" s="305" t="s">
        <v>1987</v>
      </c>
      <c r="Q307" s="292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0" t="s">
        <v>1986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0" t="s">
        <v>1986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0" t="s">
        <v>1986</v>
      </c>
      <c r="Z307" t="str">
        <f>IFERROR(VLOOKUP(ROWS($Z$3:Z307),$X$3:$Y$992,2,0),"")</f>
        <v>Ostatní informační činnosti</v>
      </c>
    </row>
    <row r="308" spans="13:26">
      <c r="M308" s="289">
        <f>IF(ISNUMBER(SEARCH(ZAKL_DATA!$B$29,N308)),MAX($M$2:M307)+1,0)</f>
        <v>306</v>
      </c>
      <c r="N308" s="290" t="s">
        <v>1988</v>
      </c>
      <c r="O308" s="305" t="s">
        <v>1989</v>
      </c>
      <c r="Q308" s="292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0" t="s">
        <v>1988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0" t="s">
        <v>1988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0" t="s">
        <v>1988</v>
      </c>
      <c r="Z308" t="str">
        <f>IFERROR(VLOOKUP(ROWS($Z$3:Z308),$X$3:$Y$992,2,0),"")</f>
        <v>Peněžní zprostředkování</v>
      </c>
    </row>
    <row r="309" spans="13:26">
      <c r="M309" s="289">
        <f>IF(ISNUMBER(SEARCH(ZAKL_DATA!$B$29,N309)),MAX($M$2:M308)+1,0)</f>
        <v>307</v>
      </c>
      <c r="N309" s="290" t="s">
        <v>1990</v>
      </c>
      <c r="O309" s="305" t="s">
        <v>1991</v>
      </c>
      <c r="Q309" s="292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0" t="s">
        <v>1990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0" t="s">
        <v>1990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0" t="s">
        <v>1990</v>
      </c>
      <c r="Z309" t="str">
        <f>IFERROR(VLOOKUP(ROWS($Z$3:Z309),$X$3:$Y$992,2,0),"")</f>
        <v>Činnosti holdingových společností</v>
      </c>
    </row>
    <row r="310" spans="13:26">
      <c r="M310" s="289">
        <f>IF(ISNUMBER(SEARCH(ZAKL_DATA!$B$29,N310)),MAX($M$2:M309)+1,0)</f>
        <v>308</v>
      </c>
      <c r="N310" s="290" t="s">
        <v>1992</v>
      </c>
      <c r="O310" s="305" t="s">
        <v>1993</v>
      </c>
      <c r="Q310" s="292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0" t="s">
        <v>1992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0" t="s">
        <v>1992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0" t="s">
        <v>1992</v>
      </c>
      <c r="Z310" t="str">
        <f>IFERROR(VLOOKUP(ROWS($Z$3:Z310),$X$3:$Y$992,2,0),"")</f>
        <v>Činnosti trustů, fondů a podobných finančních subjektů</v>
      </c>
    </row>
    <row r="311" spans="13:26">
      <c r="M311" s="289">
        <f>IF(ISNUMBER(SEARCH(ZAKL_DATA!$B$29,N311)),MAX($M$2:M310)+1,0)</f>
        <v>309</v>
      </c>
      <c r="N311" s="290" t="s">
        <v>1994</v>
      </c>
      <c r="O311" s="305" t="s">
        <v>1995</v>
      </c>
      <c r="Q311" s="292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0" t="s">
        <v>1994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0" t="s">
        <v>1994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0" t="s">
        <v>1994</v>
      </c>
      <c r="Z311" t="str">
        <f>IFERROR(VLOOKUP(ROWS($Z$3:Z311),$X$3:$Y$992,2,0),"")</f>
        <v>Ostatní finanční zprostředkování</v>
      </c>
    </row>
    <row r="312" spans="13:26">
      <c r="M312" s="289">
        <f>IF(ISNUMBER(SEARCH(ZAKL_DATA!$B$29,N312)),MAX($M$2:M311)+1,0)</f>
        <v>310</v>
      </c>
      <c r="N312" s="290" t="s">
        <v>233</v>
      </c>
      <c r="O312" s="305" t="s">
        <v>1996</v>
      </c>
      <c r="Q312" s="292" t="str">
        <f>IFERROR(VLOOKUP(ROWS($Q$3:Q312),$M$3:$N$992,2,0),"")</f>
        <v>Pojištění</v>
      </c>
      <c r="R312">
        <f>IF(ISNUMBER(SEARCH('1Př1'!$A$32,N312)),MAX($M$2:M311)+1,0)</f>
        <v>310</v>
      </c>
      <c r="S312" s="290" t="s">
        <v>233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0" t="s">
        <v>233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0" t="s">
        <v>233</v>
      </c>
      <c r="Z312" t="str">
        <f>IFERROR(VLOOKUP(ROWS($Z$3:Z312),$X$3:$Y$992,2,0),"")</f>
        <v>Pojištění</v>
      </c>
    </row>
    <row r="313" spans="13:26">
      <c r="M313" s="289">
        <f>IF(ISNUMBER(SEARCH(ZAKL_DATA!$B$29,N313)),MAX($M$2:M312)+1,0)</f>
        <v>311</v>
      </c>
      <c r="N313" s="290" t="s">
        <v>1997</v>
      </c>
      <c r="O313" s="305" t="s">
        <v>1998</v>
      </c>
      <c r="Q313" s="292" t="str">
        <f>IFERROR(VLOOKUP(ROWS($Q$3:Q313),$M$3:$N$992,2,0),"")</f>
        <v>Zajištění</v>
      </c>
      <c r="R313">
        <f>IF(ISNUMBER(SEARCH('1Př1'!$A$32,N313)),MAX($M$2:M312)+1,0)</f>
        <v>311</v>
      </c>
      <c r="S313" s="290" t="s">
        <v>1997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0" t="s">
        <v>1997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0" t="s">
        <v>1997</v>
      </c>
      <c r="Z313" t="str">
        <f>IFERROR(VLOOKUP(ROWS($Z$3:Z313),$X$3:$Y$992,2,0),"")</f>
        <v>Zajištění</v>
      </c>
    </row>
    <row r="314" spans="13:26">
      <c r="M314" s="289">
        <f>IF(ISNUMBER(SEARCH(ZAKL_DATA!$B$29,N314)),MAX($M$2:M313)+1,0)</f>
        <v>312</v>
      </c>
      <c r="N314" s="290" t="s">
        <v>1999</v>
      </c>
      <c r="O314" s="305" t="s">
        <v>2000</v>
      </c>
      <c r="Q314" s="292" t="str">
        <f>IFERROR(VLOOKUP(ROWS($Q$3:Q314),$M$3:$N$992,2,0),"")</f>
        <v>Penzijní financování</v>
      </c>
      <c r="R314">
        <f>IF(ISNUMBER(SEARCH('1Př1'!$A$32,N314)),MAX($M$2:M313)+1,0)</f>
        <v>312</v>
      </c>
      <c r="S314" s="290" t="s">
        <v>1999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0" t="s">
        <v>1999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0" t="s">
        <v>1999</v>
      </c>
      <c r="Z314" t="str">
        <f>IFERROR(VLOOKUP(ROWS($Z$3:Z314),$X$3:$Y$992,2,0),"")</f>
        <v>Penzijní financování</v>
      </c>
    </row>
    <row r="315" spans="13:26">
      <c r="M315" s="289">
        <f>IF(ISNUMBER(SEARCH(ZAKL_DATA!$B$29,N315)),MAX($M$2:M314)+1,0)</f>
        <v>313</v>
      </c>
      <c r="N315" s="290" t="s">
        <v>2001</v>
      </c>
      <c r="O315" s="305" t="s">
        <v>2002</v>
      </c>
      <c r="Q315" s="292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0" t="s">
        <v>2001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0" t="s">
        <v>2001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0" t="s">
        <v>2001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89">
        <f>IF(ISNUMBER(SEARCH(ZAKL_DATA!$B$29,N316)),MAX($M$2:M315)+1,0)</f>
        <v>314</v>
      </c>
      <c r="N316" s="290" t="s">
        <v>2003</v>
      </c>
      <c r="O316" s="305" t="s">
        <v>2004</v>
      </c>
      <c r="Q316" s="292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0" t="s">
        <v>2003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0" t="s">
        <v>2003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0" t="s">
        <v>2003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89">
        <f>IF(ISNUMBER(SEARCH(ZAKL_DATA!$B$29,N317)),MAX($M$2:M316)+1,0)</f>
        <v>315</v>
      </c>
      <c r="N317" s="290" t="s">
        <v>2005</v>
      </c>
      <c r="O317" s="305" t="s">
        <v>2006</v>
      </c>
      <c r="Q317" s="292" t="str">
        <f>IFERROR(VLOOKUP(ROWS($Q$3:Q317),$M$3:$N$992,2,0),"")</f>
        <v>Správa fondů</v>
      </c>
      <c r="R317">
        <f>IF(ISNUMBER(SEARCH('1Př1'!$A$32,N317)),MAX($M$2:M316)+1,0)</f>
        <v>315</v>
      </c>
      <c r="S317" s="290" t="s">
        <v>2005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0" t="s">
        <v>2005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0" t="s">
        <v>2005</v>
      </c>
      <c r="Z317" t="str">
        <f>IFERROR(VLOOKUP(ROWS($Z$3:Z317),$X$3:$Y$992,2,0),"")</f>
        <v>Správa fondů</v>
      </c>
    </row>
    <row r="318" spans="13:26">
      <c r="M318" s="289">
        <f>IF(ISNUMBER(SEARCH(ZAKL_DATA!$B$29,N318)),MAX($M$2:M317)+1,0)</f>
        <v>316</v>
      </c>
      <c r="N318" s="290" t="s">
        <v>2007</v>
      </c>
      <c r="O318" s="305" t="s">
        <v>2008</v>
      </c>
      <c r="Q318" s="292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0" t="s">
        <v>2007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0" t="s">
        <v>2007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0" t="s">
        <v>2007</v>
      </c>
      <c r="Z318" t="str">
        <f>IFERROR(VLOOKUP(ROWS($Z$3:Z318),$X$3:$Y$992,2,0),"")</f>
        <v>Nákup a následný prodej vlastních nemovitostí</v>
      </c>
    </row>
    <row r="319" spans="13:26">
      <c r="M319" s="289">
        <f>IF(ISNUMBER(SEARCH(ZAKL_DATA!$B$29,N319)),MAX($M$2:M318)+1,0)</f>
        <v>317</v>
      </c>
      <c r="N319" s="290" t="s">
        <v>2009</v>
      </c>
      <c r="O319" s="305" t="s">
        <v>2010</v>
      </c>
      <c r="Q319" s="292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0" t="s">
        <v>2009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0" t="s">
        <v>2009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0" t="s">
        <v>2009</v>
      </c>
      <c r="Z319" t="str">
        <f>IFERROR(VLOOKUP(ROWS($Z$3:Z319),$X$3:$Y$992,2,0),"")</f>
        <v>Pronájem a správa vlastních nebo pronajatých nemovitostí</v>
      </c>
    </row>
    <row r="320" spans="13:26">
      <c r="M320" s="289">
        <f>IF(ISNUMBER(SEARCH(ZAKL_DATA!$B$29,N320)),MAX($M$2:M319)+1,0)</f>
        <v>318</v>
      </c>
      <c r="N320" s="290" t="s">
        <v>2011</v>
      </c>
      <c r="O320" s="305" t="s">
        <v>2012</v>
      </c>
      <c r="Q320" s="292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0" t="s">
        <v>2011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0" t="s">
        <v>2011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0" t="s">
        <v>2011</v>
      </c>
      <c r="Z320" t="str">
        <f>IFERROR(VLOOKUP(ROWS($Z$3:Z320),$X$3:$Y$992,2,0),"")</f>
        <v>Činnosti v oblasti nemovitostí na základě smlouvy nebo dohody</v>
      </c>
    </row>
    <row r="321" spans="13:26">
      <c r="M321" s="289">
        <f>IF(ISNUMBER(SEARCH(ZAKL_DATA!$B$29,N321)),MAX($M$2:M320)+1,0)</f>
        <v>319</v>
      </c>
      <c r="N321" s="290" t="s">
        <v>2013</v>
      </c>
      <c r="O321" s="305" t="s">
        <v>2014</v>
      </c>
      <c r="Q321" s="292" t="str">
        <f>IFERROR(VLOOKUP(ROWS($Q$3:Q321),$M$3:$N$992,2,0),"")</f>
        <v>Právní činnosti</v>
      </c>
      <c r="R321">
        <f>IF(ISNUMBER(SEARCH('1Př1'!$A$32,N321)),MAX($M$2:M320)+1,0)</f>
        <v>319</v>
      </c>
      <c r="S321" s="290" t="s">
        <v>2013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0" t="s">
        <v>2013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0" t="s">
        <v>2013</v>
      </c>
      <c r="Z321" t="str">
        <f>IFERROR(VLOOKUP(ROWS($Z$3:Z321),$X$3:$Y$992,2,0),"")</f>
        <v>Právní činnosti</v>
      </c>
    </row>
    <row r="322" spans="13:26">
      <c r="M322" s="289">
        <f>IF(ISNUMBER(SEARCH(ZAKL_DATA!$B$29,N322)),MAX($M$2:M321)+1,0)</f>
        <v>320</v>
      </c>
      <c r="N322" s="290" t="s">
        <v>2015</v>
      </c>
      <c r="O322" s="305" t="s">
        <v>2016</v>
      </c>
      <c r="Q322" s="292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0" t="s">
        <v>2015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0" t="s">
        <v>2015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0" t="s">
        <v>2015</v>
      </c>
      <c r="Z322" t="str">
        <f>IFERROR(VLOOKUP(ROWS($Z$3:Z322),$X$3:$Y$992,2,0),"")</f>
        <v>Účetnické a auditorské činnosti; daňové poradenství</v>
      </c>
    </row>
    <row r="323" spans="13:26">
      <c r="M323" s="289">
        <f>IF(ISNUMBER(SEARCH(ZAKL_DATA!$B$29,N323)),MAX($M$2:M322)+1,0)</f>
        <v>321</v>
      </c>
      <c r="N323" s="290" t="s">
        <v>2017</v>
      </c>
      <c r="O323" s="305" t="s">
        <v>2018</v>
      </c>
      <c r="Q323" s="292" t="str">
        <f>IFERROR(VLOOKUP(ROWS($Q$3:Q323),$M$3:$N$992,2,0),"")</f>
        <v>Činnosti vedení podniků</v>
      </c>
      <c r="R323">
        <f>IF(ISNUMBER(SEARCH('1Př1'!$A$32,N323)),MAX($M$2:M322)+1,0)</f>
        <v>321</v>
      </c>
      <c r="S323" s="290" t="s">
        <v>2017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0" t="s">
        <v>2017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0" t="s">
        <v>2017</v>
      </c>
      <c r="Z323" t="str">
        <f>IFERROR(VLOOKUP(ROWS($Z$3:Z323),$X$3:$Y$992,2,0),"")</f>
        <v>Činnosti vedení podniků</v>
      </c>
    </row>
    <row r="324" spans="13:26">
      <c r="M324" s="289">
        <f>IF(ISNUMBER(SEARCH(ZAKL_DATA!$B$29,N324)),MAX($M$2:M323)+1,0)</f>
        <v>322</v>
      </c>
      <c r="N324" s="290" t="s">
        <v>2019</v>
      </c>
      <c r="O324" s="305" t="s">
        <v>2020</v>
      </c>
      <c r="Q324" s="292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0" t="s">
        <v>2019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0" t="s">
        <v>2019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0" t="s">
        <v>2019</v>
      </c>
      <c r="Z324" t="str">
        <f>IFERROR(VLOOKUP(ROWS($Z$3:Z324),$X$3:$Y$992,2,0),"")</f>
        <v>Poradenství v oblasti řízení</v>
      </c>
    </row>
    <row r="325" spans="13:26">
      <c r="M325" s="289">
        <f>IF(ISNUMBER(SEARCH(ZAKL_DATA!$B$29,N325)),MAX($M$2:M324)+1,0)</f>
        <v>323</v>
      </c>
      <c r="N325" s="290" t="s">
        <v>2021</v>
      </c>
      <c r="O325" s="305" t="s">
        <v>2022</v>
      </c>
      <c r="Q325" s="292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0" t="s">
        <v>2021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0" t="s">
        <v>2021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0" t="s">
        <v>2021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89">
        <f>IF(ISNUMBER(SEARCH(ZAKL_DATA!$B$29,N326)),MAX($M$2:M325)+1,0)</f>
        <v>324</v>
      </c>
      <c r="N326" s="290" t="s">
        <v>2023</v>
      </c>
      <c r="O326" s="305" t="s">
        <v>2024</v>
      </c>
      <c r="Q326" s="292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0" t="s">
        <v>2023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0" t="s">
        <v>2023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0" t="s">
        <v>2023</v>
      </c>
      <c r="Z326" t="str">
        <f>IFERROR(VLOOKUP(ROWS($Z$3:Z326),$X$3:$Y$992,2,0),"")</f>
        <v>Technické zkoušky a analýzy</v>
      </c>
    </row>
    <row r="327" spans="13:26">
      <c r="M327" s="289">
        <f>IF(ISNUMBER(SEARCH(ZAKL_DATA!$B$29,N327)),MAX($M$2:M326)+1,0)</f>
        <v>325</v>
      </c>
      <c r="N327" s="290" t="s">
        <v>2025</v>
      </c>
      <c r="O327" s="305" t="s">
        <v>2026</v>
      </c>
      <c r="Q327" s="292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0" t="s">
        <v>2025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0" t="s">
        <v>2025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0" t="s">
        <v>2025</v>
      </c>
      <c r="Z327" t="str">
        <f>IFERROR(VLOOKUP(ROWS($Z$3:Z327),$X$3:$Y$992,2,0),"")</f>
        <v>Výzkum a vývoj v oblasti přírodních a technických věd</v>
      </c>
    </row>
    <row r="328" spans="13:26">
      <c r="M328" s="289">
        <f>IF(ISNUMBER(SEARCH(ZAKL_DATA!$B$29,N328)),MAX($M$2:M327)+1,0)</f>
        <v>326</v>
      </c>
      <c r="N328" s="290" t="s">
        <v>2027</v>
      </c>
      <c r="O328" s="305" t="s">
        <v>2028</v>
      </c>
      <c r="Q328" s="292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0" t="s">
        <v>2027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0" t="s">
        <v>2027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0" t="s">
        <v>2027</v>
      </c>
      <c r="Z328" t="str">
        <f>IFERROR(VLOOKUP(ROWS($Z$3:Z328),$X$3:$Y$992,2,0),"")</f>
        <v>Těžba a úprava uranových a thoriových rud</v>
      </c>
    </row>
    <row r="329" spans="13:26">
      <c r="M329" s="289">
        <f>IF(ISNUMBER(SEARCH(ZAKL_DATA!$B$29,N329)),MAX($M$2:M328)+1,0)</f>
        <v>327</v>
      </c>
      <c r="N329" s="290" t="s">
        <v>2029</v>
      </c>
      <c r="O329" s="305" t="s">
        <v>2030</v>
      </c>
      <c r="Q329" s="292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0" t="s">
        <v>2029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0" t="s">
        <v>2029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0" t="s">
        <v>2029</v>
      </c>
      <c r="Z329" t="str">
        <f>IFERROR(VLOOKUP(ROWS($Z$3:Z329),$X$3:$Y$992,2,0),"")</f>
        <v>Výzkum a vývoj v oblasti společenských a humanitních věd</v>
      </c>
    </row>
    <row r="330" spans="13:26">
      <c r="M330" s="289">
        <f>IF(ISNUMBER(SEARCH(ZAKL_DATA!$B$29,N330)),MAX($M$2:M329)+1,0)</f>
        <v>328</v>
      </c>
      <c r="N330" s="290" t="s">
        <v>2031</v>
      </c>
      <c r="O330" s="305" t="s">
        <v>2032</v>
      </c>
      <c r="Q330" s="292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0" t="s">
        <v>2031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0" t="s">
        <v>2031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0" t="s">
        <v>2031</v>
      </c>
      <c r="Z330" t="str">
        <f>IFERROR(VLOOKUP(ROWS($Z$3:Z330),$X$3:$Y$992,2,0),"")</f>
        <v>Těžba a úprava ostatních neželezných rud</v>
      </c>
    </row>
    <row r="331" spans="13:26">
      <c r="M331" s="289">
        <f>IF(ISNUMBER(SEARCH(ZAKL_DATA!$B$29,N331)),MAX($M$2:M330)+1,0)</f>
        <v>329</v>
      </c>
      <c r="N331" s="290" t="s">
        <v>2033</v>
      </c>
      <c r="O331" s="305" t="s">
        <v>2034</v>
      </c>
      <c r="Q331" s="292" t="str">
        <f>IFERROR(VLOOKUP(ROWS($Q$3:Q331),$M$3:$N$992,2,0),"")</f>
        <v>Reklamní činnosti</v>
      </c>
      <c r="R331">
        <f>IF(ISNUMBER(SEARCH('1Př1'!$A$32,N331)),MAX($M$2:M330)+1,0)</f>
        <v>329</v>
      </c>
      <c r="S331" s="290" t="s">
        <v>2033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0" t="s">
        <v>2033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0" t="s">
        <v>2033</v>
      </c>
      <c r="Z331" t="str">
        <f>IFERROR(VLOOKUP(ROWS($Z$3:Z331),$X$3:$Y$992,2,0),"")</f>
        <v>Reklamní činnosti</v>
      </c>
    </row>
    <row r="332" spans="13:26">
      <c r="M332" s="289">
        <f>IF(ISNUMBER(SEARCH(ZAKL_DATA!$B$29,N332)),MAX($M$2:M331)+1,0)</f>
        <v>330</v>
      </c>
      <c r="N332" s="290" t="s">
        <v>2035</v>
      </c>
      <c r="O332" s="305" t="s">
        <v>2036</v>
      </c>
      <c r="Q332" s="292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0" t="s">
        <v>2035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0" t="s">
        <v>2035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0" t="s">
        <v>2035</v>
      </c>
      <c r="Z332" t="str">
        <f>IFERROR(VLOOKUP(ROWS($Z$3:Z332),$X$3:$Y$992,2,0),"")</f>
        <v>Průzkum trhu a veřejného mínění</v>
      </c>
    </row>
    <row r="333" spans="13:26">
      <c r="M333" s="289">
        <f>IF(ISNUMBER(SEARCH(ZAKL_DATA!$B$29,N333)),MAX($M$2:M332)+1,0)</f>
        <v>331</v>
      </c>
      <c r="N333" s="290" t="s">
        <v>2037</v>
      </c>
      <c r="O333" s="305" t="s">
        <v>2038</v>
      </c>
      <c r="Q333" s="292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0" t="s">
        <v>2037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0" t="s">
        <v>2037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0" t="s">
        <v>2037</v>
      </c>
      <c r="Z333" t="str">
        <f>IFERROR(VLOOKUP(ROWS($Z$3:Z333),$X$3:$Y$992,2,0),"")</f>
        <v>Specializované návrhářské činnosti</v>
      </c>
    </row>
    <row r="334" spans="13:26">
      <c r="M334" s="289">
        <f>IF(ISNUMBER(SEARCH(ZAKL_DATA!$B$29,N334)),MAX($M$2:M333)+1,0)</f>
        <v>332</v>
      </c>
      <c r="N334" s="290" t="s">
        <v>2039</v>
      </c>
      <c r="O334" s="305" t="s">
        <v>2040</v>
      </c>
      <c r="Q334" s="292" t="str">
        <f>IFERROR(VLOOKUP(ROWS($Q$3:Q334),$M$3:$N$992,2,0),"")</f>
        <v>Fotografické činnosti</v>
      </c>
      <c r="R334">
        <f>IF(ISNUMBER(SEARCH('1Př1'!$A$32,N334)),MAX($M$2:M333)+1,0)</f>
        <v>332</v>
      </c>
      <c r="S334" s="290" t="s">
        <v>2039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0" t="s">
        <v>2039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0" t="s">
        <v>2039</v>
      </c>
      <c r="Z334" t="str">
        <f>IFERROR(VLOOKUP(ROWS($Z$3:Z334),$X$3:$Y$992,2,0),"")</f>
        <v>Fotografické činnosti</v>
      </c>
    </row>
    <row r="335" spans="13:26">
      <c r="M335" s="289">
        <f>IF(ISNUMBER(SEARCH(ZAKL_DATA!$B$29,N335)),MAX($M$2:M334)+1,0)</f>
        <v>333</v>
      </c>
      <c r="N335" s="290" t="s">
        <v>2041</v>
      </c>
      <c r="O335" s="305" t="s">
        <v>2042</v>
      </c>
      <c r="Q335" s="292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0" t="s">
        <v>2041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0" t="s">
        <v>2041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0" t="s">
        <v>2041</v>
      </c>
      <c r="Z335" t="str">
        <f>IFERROR(VLOOKUP(ROWS($Z$3:Z335),$X$3:$Y$992,2,0),"")</f>
        <v>Překladatelské a tlumočnické činnosti</v>
      </c>
    </row>
    <row r="336" spans="13:26">
      <c r="M336" s="289">
        <f>IF(ISNUMBER(SEARCH(ZAKL_DATA!$B$29,N336)),MAX($M$2:M335)+1,0)</f>
        <v>334</v>
      </c>
      <c r="N336" s="290" t="s">
        <v>2043</v>
      </c>
      <c r="O336" s="305" t="s">
        <v>2044</v>
      </c>
      <c r="Q336" s="292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0" t="s">
        <v>2043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0" t="s">
        <v>2043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0" t="s">
        <v>2043</v>
      </c>
      <c r="Z336" t="str">
        <f>IFERROR(VLOOKUP(ROWS($Z$3:Z336),$X$3:$Y$992,2,0),"")</f>
        <v>Ostatní profesní, vědecké a technické činnosti j. n.</v>
      </c>
    </row>
    <row r="337" spans="13:26">
      <c r="M337" s="289">
        <f>IF(ISNUMBER(SEARCH(ZAKL_DATA!$B$29,N337)),MAX($M$2:M336)+1,0)</f>
        <v>335</v>
      </c>
      <c r="N337" s="290" t="s">
        <v>2045</v>
      </c>
      <c r="O337" s="305" t="s">
        <v>2046</v>
      </c>
      <c r="Q337" s="292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0" t="s">
        <v>2045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0" t="s">
        <v>2045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0" t="s">
        <v>2045</v>
      </c>
      <c r="Z337" t="str">
        <f>IFERROR(VLOOKUP(ROWS($Z$3:Z337),$X$3:$Y$992,2,0),"")</f>
        <v>Pronájem a leasing motorových vozidel, kromě motocyklů</v>
      </c>
    </row>
    <row r="338" spans="13:26">
      <c r="M338" s="289">
        <f>IF(ISNUMBER(SEARCH(ZAKL_DATA!$B$29,N338)),MAX($M$2:M337)+1,0)</f>
        <v>336</v>
      </c>
      <c r="N338" s="290" t="s">
        <v>2047</v>
      </c>
      <c r="O338" s="305" t="s">
        <v>2048</v>
      </c>
      <c r="Q338" s="292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0" t="s">
        <v>2047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0" t="s">
        <v>2047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0" t="s">
        <v>2047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89">
        <f>IF(ISNUMBER(SEARCH(ZAKL_DATA!$B$29,N339)),MAX($M$2:M338)+1,0)</f>
        <v>337</v>
      </c>
      <c r="N339" s="290" t="s">
        <v>2049</v>
      </c>
      <c r="O339" s="305" t="s">
        <v>2050</v>
      </c>
      <c r="Q339" s="292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0" t="s">
        <v>2049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0" t="s">
        <v>2049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0" t="s">
        <v>2049</v>
      </c>
      <c r="Z339" t="str">
        <f>IFERROR(VLOOKUP(ROWS($Z$3:Z339),$X$3:$Y$992,2,0),"")</f>
        <v>Pronájem a leasing ostatních strojů, zařízení a výrobků</v>
      </c>
    </row>
    <row r="340" spans="13:26">
      <c r="M340" s="289">
        <f>IF(ISNUMBER(SEARCH(ZAKL_DATA!$B$29,N340)),MAX($M$2:M339)+1,0)</f>
        <v>338</v>
      </c>
      <c r="N340" s="290" t="s">
        <v>2051</v>
      </c>
      <c r="O340" s="305" t="s">
        <v>2052</v>
      </c>
      <c r="Q340" s="292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0" t="s">
        <v>2051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0" t="s">
        <v>2051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0" t="s">
        <v>2051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89">
        <f>IF(ISNUMBER(SEARCH(ZAKL_DATA!$B$29,N341)),MAX($M$2:M340)+1,0)</f>
        <v>339</v>
      </c>
      <c r="N341" s="290" t="s">
        <v>2053</v>
      </c>
      <c r="O341" s="305" t="s">
        <v>2054</v>
      </c>
      <c r="Q341" s="292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0" t="s">
        <v>2053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0" t="s">
        <v>2053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0" t="s">
        <v>2053</v>
      </c>
      <c r="Z341" t="str">
        <f>IFERROR(VLOOKUP(ROWS($Z$3:Z341),$X$3:$Y$992,2,0),"")</f>
        <v>Činnosti agentur zprostředkujících zaměstnání</v>
      </c>
    </row>
    <row r="342" spans="13:26">
      <c r="M342" s="289">
        <f>IF(ISNUMBER(SEARCH(ZAKL_DATA!$B$29,N342)),MAX($M$2:M341)+1,0)</f>
        <v>340</v>
      </c>
      <c r="N342" s="290" t="s">
        <v>2055</v>
      </c>
      <c r="O342" s="305" t="s">
        <v>2056</v>
      </c>
      <c r="Q342" s="292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0" t="s">
        <v>2055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0" t="s">
        <v>2055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0" t="s">
        <v>2055</v>
      </c>
      <c r="Z342" t="str">
        <f>IFERROR(VLOOKUP(ROWS($Z$3:Z342),$X$3:$Y$992,2,0),"")</f>
        <v>Činnosti agentur zprostředkujících práci na přechodnou dobu</v>
      </c>
    </row>
    <row r="343" spans="13:26">
      <c r="M343" s="289">
        <f>IF(ISNUMBER(SEARCH(ZAKL_DATA!$B$29,N343)),MAX($M$2:M342)+1,0)</f>
        <v>341</v>
      </c>
      <c r="N343" s="290" t="s">
        <v>2057</v>
      </c>
      <c r="O343" s="305" t="s">
        <v>2058</v>
      </c>
      <c r="Q343" s="292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0" t="s">
        <v>2057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0" t="s">
        <v>2057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0" t="s">
        <v>2057</v>
      </c>
      <c r="Z343" t="str">
        <f>IFERROR(VLOOKUP(ROWS($Z$3:Z343),$X$3:$Y$992,2,0),"")</f>
        <v>Ostatní poskytování lidských zdrojů</v>
      </c>
    </row>
    <row r="344" spans="13:26">
      <c r="M344" s="289">
        <f>IF(ISNUMBER(SEARCH(ZAKL_DATA!$B$29,N344)),MAX($M$2:M343)+1,0)</f>
        <v>342</v>
      </c>
      <c r="N344" s="290" t="s">
        <v>2059</v>
      </c>
      <c r="O344" s="305" t="s">
        <v>2060</v>
      </c>
      <c r="Q344" s="292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0" t="s">
        <v>2059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0" t="s">
        <v>2059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0" t="s">
        <v>2059</v>
      </c>
      <c r="Z344" t="str">
        <f>IFERROR(VLOOKUP(ROWS($Z$3:Z344),$X$3:$Y$992,2,0),"")</f>
        <v>Činnosti cestovních agentur a cestovních kanceláří</v>
      </c>
    </row>
    <row r="345" spans="13:26">
      <c r="M345" s="289">
        <f>IF(ISNUMBER(SEARCH(ZAKL_DATA!$B$29,N345)),MAX($M$2:M344)+1,0)</f>
        <v>343</v>
      </c>
      <c r="N345" s="290" t="s">
        <v>2061</v>
      </c>
      <c r="O345" s="305" t="s">
        <v>2062</v>
      </c>
      <c r="Q345" s="292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0" t="s">
        <v>2061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0" t="s">
        <v>2061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0" t="s">
        <v>2061</v>
      </c>
      <c r="Z345" t="str">
        <f>IFERROR(VLOOKUP(ROWS($Z$3:Z345),$X$3:$Y$992,2,0),"")</f>
        <v>Ostatní rezervační a související činnosti</v>
      </c>
    </row>
    <row r="346" spans="13:26">
      <c r="M346" s="289">
        <f>IF(ISNUMBER(SEARCH(ZAKL_DATA!$B$29,N346)),MAX($M$2:M345)+1,0)</f>
        <v>344</v>
      </c>
      <c r="N346" s="290" t="s">
        <v>2063</v>
      </c>
      <c r="O346" s="305" t="s">
        <v>2064</v>
      </c>
      <c r="Q346" s="292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0" t="s">
        <v>2063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0" t="s">
        <v>2063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0" t="s">
        <v>2063</v>
      </c>
      <c r="Z346" t="str">
        <f>IFERROR(VLOOKUP(ROWS($Z$3:Z346),$X$3:$Y$992,2,0),"")</f>
        <v>Činnosti soukromých bezpečnostních agentur</v>
      </c>
    </row>
    <row r="347" spans="13:26">
      <c r="M347" s="289">
        <f>IF(ISNUMBER(SEARCH(ZAKL_DATA!$B$29,N347)),MAX($M$2:M346)+1,0)</f>
        <v>345</v>
      </c>
      <c r="N347" s="290" t="s">
        <v>2065</v>
      </c>
      <c r="O347" s="305" t="s">
        <v>2066</v>
      </c>
      <c r="Q347" s="292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0" t="s">
        <v>2065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0" t="s">
        <v>2065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0" t="s">
        <v>2065</v>
      </c>
      <c r="Z347" t="str">
        <f>IFERROR(VLOOKUP(ROWS($Z$3:Z347),$X$3:$Y$992,2,0),"")</f>
        <v>Činnosti související s provozem bezpečnostních systémů</v>
      </c>
    </row>
    <row r="348" spans="13:26">
      <c r="M348" s="289">
        <f>IF(ISNUMBER(SEARCH(ZAKL_DATA!$B$29,N348)),MAX($M$2:M347)+1,0)</f>
        <v>346</v>
      </c>
      <c r="N348" s="290" t="s">
        <v>2067</v>
      </c>
      <c r="O348" s="305" t="s">
        <v>2068</v>
      </c>
      <c r="Q348" s="292" t="str">
        <f>IFERROR(VLOOKUP(ROWS($Q$3:Q348),$M$3:$N$992,2,0),"")</f>
        <v>Pátrací činnosti</v>
      </c>
      <c r="R348">
        <f>IF(ISNUMBER(SEARCH('1Př1'!$A$32,N348)),MAX($M$2:M347)+1,0)</f>
        <v>346</v>
      </c>
      <c r="S348" s="290" t="s">
        <v>2067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0" t="s">
        <v>2067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0" t="s">
        <v>2067</v>
      </c>
      <c r="Z348" t="str">
        <f>IFERROR(VLOOKUP(ROWS($Z$3:Z348),$X$3:$Y$992,2,0),"")</f>
        <v>Pátrací činnosti</v>
      </c>
    </row>
    <row r="349" spans="13:26">
      <c r="M349" s="289">
        <f>IF(ISNUMBER(SEARCH(ZAKL_DATA!$B$29,N349)),MAX($M$2:M348)+1,0)</f>
        <v>347</v>
      </c>
      <c r="N349" s="290" t="s">
        <v>2069</v>
      </c>
      <c r="O349" s="305" t="s">
        <v>2070</v>
      </c>
      <c r="Q349" s="292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0" t="s">
        <v>2069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0" t="s">
        <v>2069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0" t="s">
        <v>2069</v>
      </c>
      <c r="Z349" t="str">
        <f>IFERROR(VLOOKUP(ROWS($Z$3:Z349),$X$3:$Y$992,2,0),"")</f>
        <v>Kombinované pomocné činnosti</v>
      </c>
    </row>
    <row r="350" spans="13:26">
      <c r="M350" s="289">
        <f>IF(ISNUMBER(SEARCH(ZAKL_DATA!$B$29,N350)),MAX($M$2:M349)+1,0)</f>
        <v>348</v>
      </c>
      <c r="N350" s="290" t="s">
        <v>2071</v>
      </c>
      <c r="O350" s="305" t="s">
        <v>2072</v>
      </c>
      <c r="Q350" s="292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0" t="s">
        <v>2071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0" t="s">
        <v>2071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0" t="s">
        <v>2071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89">
        <f>IF(ISNUMBER(SEARCH(ZAKL_DATA!$B$29,N351)),MAX($M$2:M350)+1,0)</f>
        <v>349</v>
      </c>
      <c r="N351" s="290" t="s">
        <v>2073</v>
      </c>
      <c r="O351" s="305" t="s">
        <v>2074</v>
      </c>
      <c r="Q351" s="292" t="str">
        <f>IFERROR(VLOOKUP(ROWS($Q$3:Q351),$M$3:$N$992,2,0),"")</f>
        <v>Úklidové činnosti</v>
      </c>
      <c r="R351">
        <f>IF(ISNUMBER(SEARCH('1Př1'!$A$32,N351)),MAX($M$2:M350)+1,0)</f>
        <v>349</v>
      </c>
      <c r="S351" s="290" t="s">
        <v>2073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0" t="s">
        <v>2073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0" t="s">
        <v>2073</v>
      </c>
      <c r="Z351" t="str">
        <f>IFERROR(VLOOKUP(ROWS($Z$3:Z351),$X$3:$Y$992,2,0),"")</f>
        <v>Úklidové činnosti</v>
      </c>
    </row>
    <row r="352" spans="13:26">
      <c r="M352" s="289">
        <f>IF(ISNUMBER(SEARCH(ZAKL_DATA!$B$29,N352)),MAX($M$2:M351)+1,0)</f>
        <v>350</v>
      </c>
      <c r="N352" s="290" t="s">
        <v>2075</v>
      </c>
      <c r="O352" s="305" t="s">
        <v>2076</v>
      </c>
      <c r="Q352" s="292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0" t="s">
        <v>2075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0" t="s">
        <v>2075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0" t="s">
        <v>2075</v>
      </c>
      <c r="Z352" t="str">
        <f>IFERROR(VLOOKUP(ROWS($Z$3:Z352),$X$3:$Y$992,2,0),"")</f>
        <v>Provoz pískoven a štěrkopískoven; těžba jílů a kaolinu</v>
      </c>
    </row>
    <row r="353" spans="13:26">
      <c r="M353" s="289">
        <f>IF(ISNUMBER(SEARCH(ZAKL_DATA!$B$29,N353)),MAX($M$2:M352)+1,0)</f>
        <v>351</v>
      </c>
      <c r="N353" s="290" t="s">
        <v>2077</v>
      </c>
      <c r="O353" s="305" t="s">
        <v>2078</v>
      </c>
      <c r="Q353" s="292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0" t="s">
        <v>2077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0" t="s">
        <v>2077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0" t="s">
        <v>2077</v>
      </c>
      <c r="Z353" t="str">
        <f>IFERROR(VLOOKUP(ROWS($Z$3:Z353),$X$3:$Y$992,2,0),"")</f>
        <v>Činnosti související s úpravou krajiny</v>
      </c>
    </row>
    <row r="354" spans="13:26">
      <c r="M354" s="289">
        <f>IF(ISNUMBER(SEARCH(ZAKL_DATA!$B$29,N354)),MAX($M$2:M353)+1,0)</f>
        <v>352</v>
      </c>
      <c r="N354" s="290" t="s">
        <v>2079</v>
      </c>
      <c r="O354" s="305" t="s">
        <v>2080</v>
      </c>
      <c r="Q354" s="292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0" t="s">
        <v>2079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0" t="s">
        <v>2079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0" t="s">
        <v>2079</v>
      </c>
      <c r="Z354" t="str">
        <f>IFERROR(VLOOKUP(ROWS($Z$3:Z354),$X$3:$Y$992,2,0),"")</f>
        <v>Administrativní a kancelářské činnosti</v>
      </c>
    </row>
    <row r="355" spans="13:26">
      <c r="M355" s="289">
        <f>IF(ISNUMBER(SEARCH(ZAKL_DATA!$B$29,N355)),MAX($M$2:M354)+1,0)</f>
        <v>353</v>
      </c>
      <c r="N355" s="290" t="s">
        <v>2081</v>
      </c>
      <c r="O355" s="305" t="s">
        <v>2082</v>
      </c>
      <c r="Q355" s="292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0" t="s">
        <v>2081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0" t="s">
        <v>2081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0" t="s">
        <v>2081</v>
      </c>
      <c r="Z355" t="str">
        <f>IFERROR(VLOOKUP(ROWS($Z$3:Z355),$X$3:$Y$992,2,0),"")</f>
        <v>Činnosti zprostředkovatelských středisek po telefonu</v>
      </c>
    </row>
    <row r="356" spans="13:26">
      <c r="M356" s="289">
        <f>IF(ISNUMBER(SEARCH(ZAKL_DATA!$B$29,N356)),MAX($M$2:M355)+1,0)</f>
        <v>354</v>
      </c>
      <c r="N356" s="290" t="s">
        <v>2083</v>
      </c>
      <c r="O356" s="305" t="s">
        <v>2084</v>
      </c>
      <c r="Q356" s="292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0" t="s">
        <v>2083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0" t="s">
        <v>2083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0" t="s">
        <v>2083</v>
      </c>
      <c r="Z356" t="str">
        <f>IFERROR(VLOOKUP(ROWS($Z$3:Z356),$X$3:$Y$992,2,0),"")</f>
        <v>Pořádání konferencí a hospodářských výstav</v>
      </c>
    </row>
    <row r="357" spans="13:26">
      <c r="M357" s="289">
        <f>IF(ISNUMBER(SEARCH(ZAKL_DATA!$B$29,N357)),MAX($M$2:M356)+1,0)</f>
        <v>355</v>
      </c>
      <c r="N357" s="290" t="s">
        <v>2085</v>
      </c>
      <c r="O357" s="305" t="s">
        <v>2086</v>
      </c>
      <c r="Q357" s="292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0" t="s">
        <v>2085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0" t="s">
        <v>2085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0" t="s">
        <v>2085</v>
      </c>
      <c r="Z357" t="str">
        <f>IFERROR(VLOOKUP(ROWS($Z$3:Z357),$X$3:$Y$992,2,0),"")</f>
        <v>Podpůrné činnosti pro podnikání j. n.</v>
      </c>
    </row>
    <row r="358" spans="13:26">
      <c r="M358" s="289">
        <f>IF(ISNUMBER(SEARCH(ZAKL_DATA!$B$29,N358)),MAX($M$2:M357)+1,0)</f>
        <v>356</v>
      </c>
      <c r="N358" s="290" t="s">
        <v>2087</v>
      </c>
      <c r="O358" s="305" t="s">
        <v>2088</v>
      </c>
      <c r="Q358" s="292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0" t="s">
        <v>2087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0" t="s">
        <v>2087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0" t="s">
        <v>2087</v>
      </c>
      <c r="Z358" t="str">
        <f>IFERROR(VLOOKUP(ROWS($Z$3:Z358),$X$3:$Y$992,2,0),"")</f>
        <v>Veřejná správa a hospodářská a sociální politika</v>
      </c>
    </row>
    <row r="359" spans="13:26">
      <c r="M359" s="289">
        <f>IF(ISNUMBER(SEARCH(ZAKL_DATA!$B$29,N359)),MAX($M$2:M358)+1,0)</f>
        <v>357</v>
      </c>
      <c r="N359" s="290" t="s">
        <v>2089</v>
      </c>
      <c r="O359" s="305" t="s">
        <v>2090</v>
      </c>
      <c r="Q359" s="292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0" t="s">
        <v>2089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0" t="s">
        <v>2089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0" t="s">
        <v>2089</v>
      </c>
      <c r="Z359" t="str">
        <f>IFERROR(VLOOKUP(ROWS($Z$3:Z359),$X$3:$Y$992,2,0),"")</f>
        <v>Činnosti pro společnost jako celek</v>
      </c>
    </row>
    <row r="360" spans="13:26">
      <c r="M360" s="289">
        <f>IF(ISNUMBER(SEARCH(ZAKL_DATA!$B$29,N360)),MAX($M$2:M359)+1,0)</f>
        <v>358</v>
      </c>
      <c r="N360" s="290" t="s">
        <v>2091</v>
      </c>
      <c r="O360" s="305" t="s">
        <v>2092</v>
      </c>
      <c r="Q360" s="292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0" t="s">
        <v>2091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0" t="s">
        <v>2091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0" t="s">
        <v>2091</v>
      </c>
      <c r="Z360" t="str">
        <f>IFERROR(VLOOKUP(ROWS($Z$3:Z360),$X$3:$Y$992,2,0),"")</f>
        <v>Činnosti v oblasti povinného sociálního zabezpečení</v>
      </c>
    </row>
    <row r="361" spans="13:26">
      <c r="M361" s="289">
        <f>IF(ISNUMBER(SEARCH(ZAKL_DATA!$B$29,N361)),MAX($M$2:M360)+1,0)</f>
        <v>359</v>
      </c>
      <c r="N361" s="290" t="s">
        <v>2093</v>
      </c>
      <c r="O361" s="305" t="s">
        <v>2094</v>
      </c>
      <c r="Q361" s="292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0" t="s">
        <v>2093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0" t="s">
        <v>2093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0" t="s">
        <v>2093</v>
      </c>
      <c r="Z361" t="str">
        <f>IFERROR(VLOOKUP(ROWS($Z$3:Z361),$X$3:$Y$992,2,0),"")</f>
        <v>Předškolní vzdělávání</v>
      </c>
    </row>
    <row r="362" spans="13:26">
      <c r="M362" s="289">
        <f>IF(ISNUMBER(SEARCH(ZAKL_DATA!$B$29,N362)),MAX($M$2:M361)+1,0)</f>
        <v>360</v>
      </c>
      <c r="N362" s="290" t="s">
        <v>2095</v>
      </c>
      <c r="O362" s="305" t="s">
        <v>2096</v>
      </c>
      <c r="Q362" s="292" t="str">
        <f>IFERROR(VLOOKUP(ROWS($Q$3:Q362),$M$3:$N$992,2,0),"")</f>
        <v>Primární vzdělávání</v>
      </c>
      <c r="R362">
        <f>IF(ISNUMBER(SEARCH('1Př1'!$A$32,N362)),MAX($M$2:M361)+1,0)</f>
        <v>360</v>
      </c>
      <c r="S362" s="290" t="s">
        <v>2095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0" t="s">
        <v>2095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0" t="s">
        <v>2095</v>
      </c>
      <c r="Z362" t="str">
        <f>IFERROR(VLOOKUP(ROWS($Z$3:Z362),$X$3:$Y$992,2,0),"")</f>
        <v>Primární vzdělávání</v>
      </c>
    </row>
    <row r="363" spans="13:26">
      <c r="M363" s="289">
        <f>IF(ISNUMBER(SEARCH(ZAKL_DATA!$B$29,N363)),MAX($M$2:M362)+1,0)</f>
        <v>361</v>
      </c>
      <c r="N363" s="290" t="s">
        <v>2097</v>
      </c>
      <c r="O363" s="305" t="s">
        <v>2098</v>
      </c>
      <c r="Q363" s="292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0" t="s">
        <v>2097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0" t="s">
        <v>2097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0" t="s">
        <v>2097</v>
      </c>
      <c r="Z363" t="str">
        <f>IFERROR(VLOOKUP(ROWS($Z$3:Z363),$X$3:$Y$992,2,0),"")</f>
        <v>Sekundární vzdělávání</v>
      </c>
    </row>
    <row r="364" spans="13:26">
      <c r="M364" s="289">
        <f>IF(ISNUMBER(SEARCH(ZAKL_DATA!$B$29,N364)),MAX($M$2:M363)+1,0)</f>
        <v>362</v>
      </c>
      <c r="N364" s="290" t="s">
        <v>2099</v>
      </c>
      <c r="O364" s="305" t="s">
        <v>2100</v>
      </c>
      <c r="Q364" s="292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0" t="s">
        <v>2099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0" t="s">
        <v>2099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0" t="s">
        <v>2099</v>
      </c>
      <c r="Z364" t="str">
        <f>IFERROR(VLOOKUP(ROWS($Z$3:Z364),$X$3:$Y$992,2,0),"")</f>
        <v>Postsekundární vzdělávání</v>
      </c>
    </row>
    <row r="365" spans="13:26">
      <c r="M365" s="289">
        <f>IF(ISNUMBER(SEARCH(ZAKL_DATA!$B$29,N365)),MAX($M$2:M364)+1,0)</f>
        <v>363</v>
      </c>
      <c r="N365" s="290" t="s">
        <v>2101</v>
      </c>
      <c r="O365" s="305" t="s">
        <v>2102</v>
      </c>
      <c r="Q365" s="292" t="str">
        <f>IFERROR(VLOOKUP(ROWS($Q$3:Q365),$M$3:$N$992,2,0),"")</f>
        <v>Ostatní vzdělávání</v>
      </c>
      <c r="R365">
        <f>IF(ISNUMBER(SEARCH('1Př1'!$A$32,N365)),MAX($M$2:M364)+1,0)</f>
        <v>363</v>
      </c>
      <c r="S365" s="290" t="s">
        <v>2101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0" t="s">
        <v>2101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0" t="s">
        <v>2101</v>
      </c>
      <c r="Z365" t="str">
        <f>IFERROR(VLOOKUP(ROWS($Z$3:Z365),$X$3:$Y$992,2,0),"")</f>
        <v>Ostatní vzdělávání</v>
      </c>
    </row>
    <row r="366" spans="13:26">
      <c r="M366" s="289">
        <f>IF(ISNUMBER(SEARCH(ZAKL_DATA!$B$29,N366)),MAX($M$2:M365)+1,0)</f>
        <v>364</v>
      </c>
      <c r="N366" s="290" t="s">
        <v>2103</v>
      </c>
      <c r="O366" s="305" t="s">
        <v>2104</v>
      </c>
      <c r="Q366" s="292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0" t="s">
        <v>2103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0" t="s">
        <v>2103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0" t="s">
        <v>2103</v>
      </c>
      <c r="Z366" t="str">
        <f>IFERROR(VLOOKUP(ROWS($Z$3:Z366),$X$3:$Y$992,2,0),"")</f>
        <v>Podpůrné činnosti ve vzdělávání</v>
      </c>
    </row>
    <row r="367" spans="13:26">
      <c r="M367" s="289">
        <f>IF(ISNUMBER(SEARCH(ZAKL_DATA!$B$29,N367)),MAX($M$2:M366)+1,0)</f>
        <v>365</v>
      </c>
      <c r="N367" s="290" t="s">
        <v>2105</v>
      </c>
      <c r="O367" s="305" t="s">
        <v>2106</v>
      </c>
      <c r="Q367" s="292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0" t="s">
        <v>2105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0" t="s">
        <v>2105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0" t="s">
        <v>2105</v>
      </c>
      <c r="Z367" t="str">
        <f>IFERROR(VLOOKUP(ROWS($Z$3:Z367),$X$3:$Y$992,2,0),"")</f>
        <v>Ústavní zdravotní péče</v>
      </c>
    </row>
    <row r="368" spans="13:26">
      <c r="M368" s="289">
        <f>IF(ISNUMBER(SEARCH(ZAKL_DATA!$B$29,N368)),MAX($M$2:M367)+1,0)</f>
        <v>366</v>
      </c>
      <c r="N368" s="290" t="s">
        <v>2107</v>
      </c>
      <c r="O368" s="305" t="s">
        <v>2108</v>
      </c>
      <c r="Q368" s="292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0" t="s">
        <v>2107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0" t="s">
        <v>2107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0" t="s">
        <v>2107</v>
      </c>
      <c r="Z368" t="str">
        <f>IFERROR(VLOOKUP(ROWS($Z$3:Z368),$X$3:$Y$992,2,0),"")</f>
        <v>Ambulantní a zubní zdravotní péče</v>
      </c>
    </row>
    <row r="369" spans="13:26">
      <c r="M369" s="289">
        <f>IF(ISNUMBER(SEARCH(ZAKL_DATA!$B$29,N369)),MAX($M$2:M368)+1,0)</f>
        <v>367</v>
      </c>
      <c r="N369" s="290" t="s">
        <v>2109</v>
      </c>
      <c r="O369" s="305" t="s">
        <v>2110</v>
      </c>
      <c r="Q369" s="292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0" t="s">
        <v>2109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0" t="s">
        <v>2109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0" t="s">
        <v>2109</v>
      </c>
      <c r="Z369" t="str">
        <f>IFERROR(VLOOKUP(ROWS($Z$3:Z369),$X$3:$Y$992,2,0),"")</f>
        <v>Ostatní činnosti související se zdravotní péčí</v>
      </c>
    </row>
    <row r="370" spans="13:26">
      <c r="M370" s="289">
        <f>IF(ISNUMBER(SEARCH(ZAKL_DATA!$B$29,N370)),MAX($M$2:M369)+1,0)</f>
        <v>368</v>
      </c>
      <c r="N370" s="290" t="s">
        <v>2111</v>
      </c>
      <c r="O370" s="305" t="s">
        <v>1160</v>
      </c>
      <c r="Q370" s="292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0" t="s">
        <v>2111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0" t="s">
        <v>2111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0" t="s">
        <v>2111</v>
      </c>
      <c r="Z370" t="str">
        <f>IFERROR(VLOOKUP(ROWS($Z$3:Z370),$X$3:$Y$992,2,0),"")</f>
        <v>Ústavní sociální péče</v>
      </c>
    </row>
    <row r="371" spans="13:26">
      <c r="M371" s="289">
        <f>IF(ISNUMBER(SEARCH(ZAKL_DATA!$B$29,N371)),MAX($M$2:M370)+1,0)</f>
        <v>369</v>
      </c>
      <c r="N371" s="290" t="s">
        <v>2112</v>
      </c>
      <c r="O371" s="305" t="s">
        <v>2113</v>
      </c>
      <c r="Q371" s="292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0" t="s">
        <v>2112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0" t="s">
        <v>2112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0" t="s">
        <v>2112</v>
      </c>
      <c r="Z371" t="str">
        <f>IFERROR(VLOOKUP(ROWS($Z$3:Z371),$X$3:$Y$992,2,0),"")</f>
        <v>Sociální péče ve zdravotnických zařízeních ústavní péče</v>
      </c>
    </row>
    <row r="372" spans="13:26">
      <c r="M372" s="289">
        <f>IF(ISNUMBER(SEARCH(ZAKL_DATA!$B$29,N372)),MAX($M$2:M371)+1,0)</f>
        <v>370</v>
      </c>
      <c r="N372" s="290" t="s">
        <v>2114</v>
      </c>
      <c r="O372" s="305" t="s">
        <v>2115</v>
      </c>
      <c r="Q372" s="292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0" t="s">
        <v>2114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0" t="s">
        <v>2114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0" t="s">
        <v>2114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89">
        <f>IF(ISNUMBER(SEARCH(ZAKL_DATA!$B$29,N373)),MAX($M$2:M372)+1,0)</f>
        <v>371</v>
      </c>
      <c r="N373" s="290" t="s">
        <v>2116</v>
      </c>
      <c r="O373" s="305" t="s">
        <v>2117</v>
      </c>
      <c r="Q373" s="292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0" t="s">
        <v>2116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0" t="s">
        <v>2116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0" t="s">
        <v>2116</v>
      </c>
      <c r="Z373" t="str">
        <f>IFERROR(VLOOKUP(ROWS($Z$3:Z373),$X$3:$Y$992,2,0),"")</f>
        <v>Sociální péče v domovech pro seniory a osoby se zdravotním postižením</v>
      </c>
    </row>
    <row r="374" spans="13:26">
      <c r="M374" s="289">
        <f>IF(ISNUMBER(SEARCH(ZAKL_DATA!$B$29,N374)),MAX($M$2:M373)+1,0)</f>
        <v>372</v>
      </c>
      <c r="N374" s="290" t="s">
        <v>2118</v>
      </c>
      <c r="O374" s="305" t="s">
        <v>2119</v>
      </c>
      <c r="Q374" s="292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0" t="s">
        <v>2118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0" t="s">
        <v>2118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0" t="s">
        <v>2118</v>
      </c>
      <c r="Z374" t="str">
        <f>IFERROR(VLOOKUP(ROWS($Z$3:Z374),$X$3:$Y$992,2,0),"")</f>
        <v>Ostatní pobytové služby sociální péče</v>
      </c>
    </row>
    <row r="375" spans="13:26">
      <c r="M375" s="289">
        <f>IF(ISNUMBER(SEARCH(ZAKL_DATA!$B$29,N375)),MAX($M$2:M374)+1,0)</f>
        <v>373</v>
      </c>
      <c r="N375" s="290" t="s">
        <v>2120</v>
      </c>
      <c r="O375" s="305" t="s">
        <v>2121</v>
      </c>
      <c r="Q375" s="292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0" t="s">
        <v>2120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0" t="s">
        <v>2120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0" t="s">
        <v>2120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89">
        <f>IF(ISNUMBER(SEARCH(ZAKL_DATA!$B$29,N376)),MAX($M$2:M375)+1,0)</f>
        <v>374</v>
      </c>
      <c r="N376" s="290" t="s">
        <v>2122</v>
      </c>
      <c r="O376" s="305" t="s">
        <v>2123</v>
      </c>
      <c r="Q376" s="292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0" t="s">
        <v>2122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0" t="s">
        <v>2122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0" t="s">
        <v>2122</v>
      </c>
      <c r="Z376" t="str">
        <f>IFERROR(VLOOKUP(ROWS($Z$3:Z376),$X$3:$Y$992,2,0),"")</f>
        <v>Ostatní ambulantní nebo terénní sociální služby</v>
      </c>
    </row>
    <row r="377" spans="13:26">
      <c r="M377" s="289">
        <f>IF(ISNUMBER(SEARCH(ZAKL_DATA!$B$29,N377)),MAX($M$2:M376)+1,0)</f>
        <v>375</v>
      </c>
      <c r="N377" s="290" t="s">
        <v>2124</v>
      </c>
      <c r="O377" s="305" t="s">
        <v>2125</v>
      </c>
      <c r="Q377" s="292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0" t="s">
        <v>2124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0" t="s">
        <v>2124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0" t="s">
        <v>2124</v>
      </c>
      <c r="Z377" t="str">
        <f>IFERROR(VLOOKUP(ROWS($Z$3:Z377),$X$3:$Y$992,2,0),"")</f>
        <v>Těžba chemických minerálů a minerálů pro výrobu hnojiv</v>
      </c>
    </row>
    <row r="378" spans="13:26">
      <c r="M378" s="289">
        <f>IF(ISNUMBER(SEARCH(ZAKL_DATA!$B$29,N378)),MAX($M$2:M377)+1,0)</f>
        <v>376</v>
      </c>
      <c r="N378" s="290" t="s">
        <v>2126</v>
      </c>
      <c r="O378" s="305" t="s">
        <v>2127</v>
      </c>
      <c r="Q378" s="292" t="str">
        <f>IFERROR(VLOOKUP(ROWS($Q$3:Q378),$M$3:$N$992,2,0),"")</f>
        <v>Těžba rašeliny</v>
      </c>
      <c r="R378">
        <f>IF(ISNUMBER(SEARCH('1Př1'!$A$32,N378)),MAX($M$2:M377)+1,0)</f>
        <v>376</v>
      </c>
      <c r="S378" s="290" t="s">
        <v>2126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0" t="s">
        <v>2126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0" t="s">
        <v>2126</v>
      </c>
      <c r="Z378" t="str">
        <f>IFERROR(VLOOKUP(ROWS($Z$3:Z378),$X$3:$Y$992,2,0),"")</f>
        <v>Těžba rašeliny</v>
      </c>
    </row>
    <row r="379" spans="13:26">
      <c r="M379" s="289">
        <f>IF(ISNUMBER(SEARCH(ZAKL_DATA!$B$29,N379)),MAX($M$2:M378)+1,0)</f>
        <v>377</v>
      </c>
      <c r="N379" s="290" t="s">
        <v>2128</v>
      </c>
      <c r="O379" s="305" t="s">
        <v>2129</v>
      </c>
      <c r="Q379" s="292" t="str">
        <f>IFERROR(VLOOKUP(ROWS($Q$3:Q379),$M$3:$N$992,2,0),"")</f>
        <v>Těžba soli</v>
      </c>
      <c r="R379">
        <f>IF(ISNUMBER(SEARCH('1Př1'!$A$32,N379)),MAX($M$2:M378)+1,0)</f>
        <v>377</v>
      </c>
      <c r="S379" s="290" t="s">
        <v>2128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0" t="s">
        <v>2128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0" t="s">
        <v>2128</v>
      </c>
      <c r="Z379" t="str">
        <f>IFERROR(VLOOKUP(ROWS($Z$3:Z379),$X$3:$Y$992,2,0),"")</f>
        <v>Těžba soli</v>
      </c>
    </row>
    <row r="380" spans="13:26">
      <c r="M380" s="289">
        <f>IF(ISNUMBER(SEARCH(ZAKL_DATA!$B$29,N380)),MAX($M$2:M379)+1,0)</f>
        <v>378</v>
      </c>
      <c r="N380" s="290" t="s">
        <v>2130</v>
      </c>
      <c r="O380" s="305" t="s">
        <v>2131</v>
      </c>
      <c r="Q380" s="292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0" t="s">
        <v>2130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0" t="s">
        <v>2130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0" t="s">
        <v>2130</v>
      </c>
      <c r="Z380" t="str">
        <f>IFERROR(VLOOKUP(ROWS($Z$3:Z380),$X$3:$Y$992,2,0),"")</f>
        <v>Ostatní těžba a dobývání j. n.</v>
      </c>
    </row>
    <row r="381" spans="13:26">
      <c r="M381" s="289">
        <f>IF(ISNUMBER(SEARCH(ZAKL_DATA!$B$29,N381)),MAX($M$2:M380)+1,0)</f>
        <v>379</v>
      </c>
      <c r="N381" s="290" t="s">
        <v>2132</v>
      </c>
      <c r="O381" s="305" t="s">
        <v>2133</v>
      </c>
      <c r="Q381" s="292" t="str">
        <f>IFERROR(VLOOKUP(ROWS($Q$3:Q381),$M$3:$N$992,2,0),"")</f>
        <v>Sportovní činnosti</v>
      </c>
      <c r="R381">
        <f>IF(ISNUMBER(SEARCH('1Př1'!$A$32,N381)),MAX($M$2:M380)+1,0)</f>
        <v>379</v>
      </c>
      <c r="S381" s="290" t="s">
        <v>2132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0" t="s">
        <v>2132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0" t="s">
        <v>2132</v>
      </c>
      <c r="Z381" t="str">
        <f>IFERROR(VLOOKUP(ROWS($Z$3:Z381),$X$3:$Y$992,2,0),"")</f>
        <v>Sportovní činnosti</v>
      </c>
    </row>
    <row r="382" spans="13:26">
      <c r="M382" s="289">
        <f>IF(ISNUMBER(SEARCH(ZAKL_DATA!$B$29,N382)),MAX($M$2:M381)+1,0)</f>
        <v>380</v>
      </c>
      <c r="N382" s="290" t="s">
        <v>2134</v>
      </c>
      <c r="O382" s="305" t="s">
        <v>2135</v>
      </c>
      <c r="Q382" s="292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0" t="s">
        <v>2134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0" t="s">
        <v>2134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0" t="s">
        <v>2134</v>
      </c>
      <c r="Z382" t="str">
        <f>IFERROR(VLOOKUP(ROWS($Z$3:Z382),$X$3:$Y$992,2,0),"")</f>
        <v>Ostatní zábavní a rekreační činnosti</v>
      </c>
    </row>
    <row r="383" spans="13:26">
      <c r="M383" s="289">
        <f>IF(ISNUMBER(SEARCH(ZAKL_DATA!$B$29,N383)),MAX($M$2:M382)+1,0)</f>
        <v>381</v>
      </c>
      <c r="N383" s="290" t="s">
        <v>2136</v>
      </c>
      <c r="O383" s="305" t="s">
        <v>2137</v>
      </c>
      <c r="Q383" s="292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0" t="s">
        <v>2136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0" t="s">
        <v>2136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0" t="s">
        <v>2136</v>
      </c>
      <c r="Z383" t="str">
        <f>IFERROR(VLOOKUP(ROWS($Z$3:Z383),$X$3:$Y$992,2,0),"")</f>
        <v>Činnosti podnikatelských, zaměstnavatelských a profesních organizací</v>
      </c>
    </row>
    <row r="384" spans="13:26">
      <c r="M384" s="289">
        <f>IF(ISNUMBER(SEARCH(ZAKL_DATA!$B$29,N384)),MAX($M$2:M383)+1,0)</f>
        <v>382</v>
      </c>
      <c r="N384" s="290" t="s">
        <v>2138</v>
      </c>
      <c r="O384" s="305" t="s">
        <v>2139</v>
      </c>
      <c r="Q384" s="292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0" t="s">
        <v>2138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0" t="s">
        <v>2138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0" t="s">
        <v>2138</v>
      </c>
      <c r="Z384" t="str">
        <f>IFERROR(VLOOKUP(ROWS($Z$3:Z384),$X$3:$Y$992,2,0),"")</f>
        <v>Činnosti odborových svazů</v>
      </c>
    </row>
    <row r="385" spans="13:26">
      <c r="M385" s="289">
        <f>IF(ISNUMBER(SEARCH(ZAKL_DATA!$B$29,N385)),MAX($M$2:M384)+1,0)</f>
        <v>383</v>
      </c>
      <c r="N385" s="290" t="s">
        <v>2140</v>
      </c>
      <c r="O385" s="305" t="s">
        <v>2141</v>
      </c>
      <c r="Q385" s="292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0" t="s">
        <v>2140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0" t="s">
        <v>2140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0" t="s">
        <v>2140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89">
        <f>IF(ISNUMBER(SEARCH(ZAKL_DATA!$B$29,N386)),MAX($M$2:M385)+1,0)</f>
        <v>384</v>
      </c>
      <c r="N386" s="290" t="s">
        <v>2142</v>
      </c>
      <c r="O386" s="305" t="s">
        <v>2143</v>
      </c>
      <c r="Q386" s="292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0" t="s">
        <v>2142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0" t="s">
        <v>2142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0" t="s">
        <v>2142</v>
      </c>
      <c r="Z386" t="str">
        <f>IFERROR(VLOOKUP(ROWS($Z$3:Z386),$X$3:$Y$992,2,0),"")</f>
        <v>Opravy počítačů a komunikačních zařízení</v>
      </c>
    </row>
    <row r="387" spans="13:26">
      <c r="M387" s="289">
        <f>IF(ISNUMBER(SEARCH(ZAKL_DATA!$B$29,N387)),MAX($M$2:M386)+1,0)</f>
        <v>385</v>
      </c>
      <c r="N387" s="290" t="s">
        <v>2144</v>
      </c>
      <c r="O387" s="305" t="s">
        <v>2145</v>
      </c>
      <c r="Q387" s="292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0" t="s">
        <v>2144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0" t="s">
        <v>2144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0" t="s">
        <v>2144</v>
      </c>
      <c r="Z387" t="str">
        <f>IFERROR(VLOOKUP(ROWS($Z$3:Z387),$X$3:$Y$992,2,0),"")</f>
        <v>Opravy výrobků pro osobní potřebu a převážně pro domácnost</v>
      </c>
    </row>
    <row r="388" spans="13:26">
      <c r="M388" s="289">
        <f>IF(ISNUMBER(SEARCH(ZAKL_DATA!$B$29,N388)),MAX($M$2:M387)+1,0)</f>
        <v>386</v>
      </c>
      <c r="N388" s="290" t="s">
        <v>2146</v>
      </c>
      <c r="O388" s="305" t="s">
        <v>2147</v>
      </c>
      <c r="Q388" s="292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0" t="s">
        <v>2146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0" t="s">
        <v>2146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0" t="s">
        <v>2146</v>
      </c>
      <c r="Z388" t="str">
        <f>IFERROR(VLOOKUP(ROWS($Z$3:Z388),$X$3:$Y$992,2,0),"")</f>
        <v>Činnosti domác.produk.blíže neurčené výrobky pro vlastní potřebu</v>
      </c>
    </row>
    <row r="389" spans="13:26">
      <c r="M389" s="289">
        <f>IF(ISNUMBER(SEARCH(ZAKL_DATA!$B$29,N389)),MAX($M$2:M388)+1,0)</f>
        <v>387</v>
      </c>
      <c r="N389" s="290" t="s">
        <v>2148</v>
      </c>
      <c r="O389" s="305" t="s">
        <v>2149</v>
      </c>
      <c r="Q389" s="292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0" t="s">
        <v>2148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0" t="s">
        <v>2148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0" t="s">
        <v>2148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89">
        <f>IF(ISNUMBER(SEARCH(ZAKL_DATA!$B$29,N390)),MAX($M$2:M389)+1,0)</f>
        <v>388</v>
      </c>
      <c r="N390" s="290" t="s">
        <v>2150</v>
      </c>
      <c r="O390" s="305" t="s">
        <v>2151</v>
      </c>
      <c r="Q390" s="292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0" t="s">
        <v>2150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0" t="s">
        <v>2150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0" t="s">
        <v>2150</v>
      </c>
      <c r="Z390" t="str">
        <f>IFERROR(VLOOKUP(ROWS($Z$3:Z390),$X$3:$Y$992,2,0),"")</f>
        <v>Zpracování a konzervování masa, kromě drůbežího</v>
      </c>
    </row>
    <row r="391" spans="13:26">
      <c r="M391" s="289">
        <f>IF(ISNUMBER(SEARCH(ZAKL_DATA!$B$29,N391)),MAX($M$2:M390)+1,0)</f>
        <v>389</v>
      </c>
      <c r="N391" s="290" t="s">
        <v>2152</v>
      </c>
      <c r="O391" s="305" t="s">
        <v>2153</v>
      </c>
      <c r="Q391" s="292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0" t="s">
        <v>2152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0" t="s">
        <v>2152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0" t="s">
        <v>2152</v>
      </c>
      <c r="Z391" t="str">
        <f>IFERROR(VLOOKUP(ROWS($Z$3:Z391),$X$3:$Y$992,2,0),"")</f>
        <v>Zpracování a konzervování drůbežího masa</v>
      </c>
    </row>
    <row r="392" spans="13:26">
      <c r="M392" s="289">
        <f>IF(ISNUMBER(SEARCH(ZAKL_DATA!$B$29,N392)),MAX($M$2:M391)+1,0)</f>
        <v>390</v>
      </c>
      <c r="N392" s="290" t="s">
        <v>2154</v>
      </c>
      <c r="O392" s="305" t="s">
        <v>2155</v>
      </c>
      <c r="Q392" s="292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0" t="s">
        <v>2154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0" t="s">
        <v>2154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0" t="s">
        <v>2154</v>
      </c>
      <c r="Z392" t="str">
        <f>IFERROR(VLOOKUP(ROWS($Z$3:Z392),$X$3:$Y$992,2,0),"")</f>
        <v>Výroba masných výrobků a výrobků z drůbežího masa</v>
      </c>
    </row>
    <row r="393" spans="13:26">
      <c r="M393" s="289">
        <f>IF(ISNUMBER(SEARCH(ZAKL_DATA!$B$29,N393)),MAX($M$2:M392)+1,0)</f>
        <v>391</v>
      </c>
      <c r="N393" s="290" t="s">
        <v>2156</v>
      </c>
      <c r="O393" s="305" t="s">
        <v>2157</v>
      </c>
      <c r="Q393" s="292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0" t="s">
        <v>2156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0" t="s">
        <v>2156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0" t="s">
        <v>2156</v>
      </c>
      <c r="Z393" t="str">
        <f>IFERROR(VLOOKUP(ROWS($Z$3:Z393),$X$3:$Y$992,2,0),"")</f>
        <v>Zpracování a konzervování brambor</v>
      </c>
    </row>
    <row r="394" spans="13:26">
      <c r="M394" s="289">
        <f>IF(ISNUMBER(SEARCH(ZAKL_DATA!$B$29,N394)),MAX($M$2:M393)+1,0)</f>
        <v>392</v>
      </c>
      <c r="N394" s="290" t="s">
        <v>2158</v>
      </c>
      <c r="O394" s="305" t="s">
        <v>2159</v>
      </c>
      <c r="Q394" s="292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0" t="s">
        <v>2158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0" t="s">
        <v>2158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0" t="s">
        <v>2158</v>
      </c>
      <c r="Z394" t="str">
        <f>IFERROR(VLOOKUP(ROWS($Z$3:Z394),$X$3:$Y$992,2,0),"")</f>
        <v>Výroba ovocných a zeleninových šťáv</v>
      </c>
    </row>
    <row r="395" spans="13:26">
      <c r="M395" s="289">
        <f>IF(ISNUMBER(SEARCH(ZAKL_DATA!$B$29,N395)),MAX($M$2:M394)+1,0)</f>
        <v>393</v>
      </c>
      <c r="N395" s="290" t="s">
        <v>2160</v>
      </c>
      <c r="O395" s="305" t="s">
        <v>2161</v>
      </c>
      <c r="Q395" s="292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0" t="s">
        <v>2160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0" t="s">
        <v>2160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0" t="s">
        <v>2160</v>
      </c>
      <c r="Z395" t="str">
        <f>IFERROR(VLOOKUP(ROWS($Z$3:Z395),$X$3:$Y$992,2,0),"")</f>
        <v>Ostatní zpracování a konzervování ovoce a zeleniny</v>
      </c>
    </row>
    <row r="396" spans="13:26">
      <c r="M396" s="289">
        <f>IF(ISNUMBER(SEARCH(ZAKL_DATA!$B$29,N396)),MAX($M$2:M395)+1,0)</f>
        <v>394</v>
      </c>
      <c r="N396" s="290" t="s">
        <v>2162</v>
      </c>
      <c r="O396" s="305" t="s">
        <v>2163</v>
      </c>
      <c r="Q396" s="292" t="str">
        <f>IFERROR(VLOOKUP(ROWS($Q$3:Q396),$M$3:$N$992,2,0),"")</f>
        <v>Výroba olejů a tuků</v>
      </c>
      <c r="R396">
        <f>IF(ISNUMBER(SEARCH('1Př1'!$A$32,N396)),MAX($M$2:M395)+1,0)</f>
        <v>394</v>
      </c>
      <c r="S396" s="290" t="s">
        <v>2162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0" t="s">
        <v>2162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0" t="s">
        <v>2162</v>
      </c>
      <c r="Z396" t="str">
        <f>IFERROR(VLOOKUP(ROWS($Z$3:Z396),$X$3:$Y$992,2,0),"")</f>
        <v>Výroba olejů a tuků</v>
      </c>
    </row>
    <row r="397" spans="13:26">
      <c r="M397" s="289">
        <f>IF(ISNUMBER(SEARCH(ZAKL_DATA!$B$29,N397)),MAX($M$2:M396)+1,0)</f>
        <v>395</v>
      </c>
      <c r="N397" s="290" t="s">
        <v>2164</v>
      </c>
      <c r="O397" s="305" t="s">
        <v>2165</v>
      </c>
      <c r="Q397" s="292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0" t="s">
        <v>2164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0" t="s">
        <v>2164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0" t="s">
        <v>2164</v>
      </c>
      <c r="Z397" t="str">
        <f>IFERROR(VLOOKUP(ROWS($Z$3:Z397),$X$3:$Y$992,2,0),"")</f>
        <v>Výroba margarínu a podobných jedlých tuků</v>
      </c>
    </row>
    <row r="398" spans="13:26">
      <c r="M398" s="289">
        <f>IF(ISNUMBER(SEARCH(ZAKL_DATA!$B$29,N398)),MAX($M$2:M397)+1,0)</f>
        <v>396</v>
      </c>
      <c r="N398" s="290" t="s">
        <v>2166</v>
      </c>
      <c r="O398" s="305" t="s">
        <v>2167</v>
      </c>
      <c r="Q398" s="292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0" t="s">
        <v>2166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0" t="s">
        <v>2166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0" t="s">
        <v>2166</v>
      </c>
      <c r="Z398" t="str">
        <f>IFERROR(VLOOKUP(ROWS($Z$3:Z398),$X$3:$Y$992,2,0),"")</f>
        <v>Zpracování mléka, výroba mléčných výrobků a sýrů</v>
      </c>
    </row>
    <row r="399" spans="13:26">
      <c r="M399" s="289">
        <f>IF(ISNUMBER(SEARCH(ZAKL_DATA!$B$29,N399)),MAX($M$2:M398)+1,0)</f>
        <v>397</v>
      </c>
      <c r="N399" s="290" t="s">
        <v>2168</v>
      </c>
      <c r="O399" s="305" t="s">
        <v>2169</v>
      </c>
      <c r="Q399" s="292" t="str">
        <f>IFERROR(VLOOKUP(ROWS($Q$3:Q399),$M$3:$N$992,2,0),"")</f>
        <v>Výroba zmrzliny</v>
      </c>
      <c r="R399">
        <f>IF(ISNUMBER(SEARCH('1Př1'!$A$32,N399)),MAX($M$2:M398)+1,0)</f>
        <v>397</v>
      </c>
      <c r="S399" s="290" t="s">
        <v>2168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0" t="s">
        <v>2168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0" t="s">
        <v>2168</v>
      </c>
      <c r="Z399" t="str">
        <f>IFERROR(VLOOKUP(ROWS($Z$3:Z399),$X$3:$Y$992,2,0),"")</f>
        <v>Výroba zmrzliny</v>
      </c>
    </row>
    <row r="400" spans="13:26">
      <c r="M400" s="289">
        <f>IF(ISNUMBER(SEARCH(ZAKL_DATA!$B$29,N400)),MAX($M$2:M399)+1,0)</f>
        <v>398</v>
      </c>
      <c r="N400" s="290" t="s">
        <v>2170</v>
      </c>
      <c r="O400" s="305" t="s">
        <v>2171</v>
      </c>
      <c r="Q400" s="292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0" t="s">
        <v>2170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0" t="s">
        <v>2170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0" t="s">
        <v>2170</v>
      </c>
      <c r="Z400" t="str">
        <f>IFERROR(VLOOKUP(ROWS($Z$3:Z400),$X$3:$Y$992,2,0),"")</f>
        <v>Výroba mlýnských výrobků</v>
      </c>
    </row>
    <row r="401" spans="13:26">
      <c r="M401" s="289">
        <f>IF(ISNUMBER(SEARCH(ZAKL_DATA!$B$29,N401)),MAX($M$2:M400)+1,0)</f>
        <v>399</v>
      </c>
      <c r="N401" s="290" t="s">
        <v>2172</v>
      </c>
      <c r="O401" s="305" t="s">
        <v>2173</v>
      </c>
      <c r="Q401" s="292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0" t="s">
        <v>2172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0" t="s">
        <v>2172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0" t="s">
        <v>2172</v>
      </c>
      <c r="Z401" t="str">
        <f>IFERROR(VLOOKUP(ROWS($Z$3:Z401),$X$3:$Y$992,2,0),"")</f>
        <v>Výroba škrobárenských výrobků</v>
      </c>
    </row>
    <row r="402" spans="13:26">
      <c r="M402" s="289">
        <f>IF(ISNUMBER(SEARCH(ZAKL_DATA!$B$29,N402)),MAX($M$2:M401)+1,0)</f>
        <v>400</v>
      </c>
      <c r="N402" s="290" t="s">
        <v>2174</v>
      </c>
      <c r="O402" s="305" t="s">
        <v>2175</v>
      </c>
      <c r="Q402" s="292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0" t="s">
        <v>2174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0" t="s">
        <v>2174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0" t="s">
        <v>2174</v>
      </c>
      <c r="Z402" t="str">
        <f>IFERROR(VLOOKUP(ROWS($Z$3:Z402),$X$3:$Y$992,2,0),"")</f>
        <v>Výroba pekařských a cukrářských výrobků, kromě trvanlivých</v>
      </c>
    </row>
    <row r="403" spans="13:26">
      <c r="M403" s="289">
        <f>IF(ISNUMBER(SEARCH(ZAKL_DATA!$B$29,N403)),MAX($M$2:M402)+1,0)</f>
        <v>401</v>
      </c>
      <c r="N403" s="290" t="s">
        <v>2176</v>
      </c>
      <c r="O403" s="305" t="s">
        <v>2177</v>
      </c>
      <c r="Q403" s="292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0" t="s">
        <v>2176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0" t="s">
        <v>2176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0" t="s">
        <v>2176</v>
      </c>
      <c r="Z403" t="str">
        <f>IFERROR(VLOOKUP(ROWS($Z$3:Z403),$X$3:$Y$992,2,0),"")</f>
        <v>Výroba sucharů a sušenek; výroba trvanlivých cukrářských výrobků</v>
      </c>
    </row>
    <row r="404" spans="13:26">
      <c r="M404" s="289">
        <f>IF(ISNUMBER(SEARCH(ZAKL_DATA!$B$29,N404)),MAX($M$2:M403)+1,0)</f>
        <v>402</v>
      </c>
      <c r="N404" s="290" t="s">
        <v>2178</v>
      </c>
      <c r="O404" s="305" t="s">
        <v>2179</v>
      </c>
      <c r="Q404" s="292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0" t="s">
        <v>2178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0" t="s">
        <v>2178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0" t="s">
        <v>2178</v>
      </c>
      <c r="Z404" t="str">
        <f>IFERROR(VLOOKUP(ROWS($Z$3:Z404),$X$3:$Y$992,2,0),"")</f>
        <v>Výroba makaronů, nudlí, kuskusu a podobných moučných výrobků</v>
      </c>
    </row>
    <row r="405" spans="13:26">
      <c r="M405" s="289">
        <f>IF(ISNUMBER(SEARCH(ZAKL_DATA!$B$29,N405)),MAX($M$2:M404)+1,0)</f>
        <v>403</v>
      </c>
      <c r="N405" s="290" t="s">
        <v>2180</v>
      </c>
      <c r="O405" s="305" t="s">
        <v>2181</v>
      </c>
      <c r="Q405" s="292" t="str">
        <f>IFERROR(VLOOKUP(ROWS($Q$3:Q405),$M$3:$N$992,2,0),"")</f>
        <v>Výroba cukru</v>
      </c>
      <c r="R405">
        <f>IF(ISNUMBER(SEARCH('1Př1'!$A$32,N405)),MAX($M$2:M404)+1,0)</f>
        <v>403</v>
      </c>
      <c r="S405" s="290" t="s">
        <v>2180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0" t="s">
        <v>2180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0" t="s">
        <v>2180</v>
      </c>
      <c r="Z405" t="str">
        <f>IFERROR(VLOOKUP(ROWS($Z$3:Z405),$X$3:$Y$992,2,0),"")</f>
        <v>Výroba cukru</v>
      </c>
    </row>
    <row r="406" spans="13:26">
      <c r="M406" s="289">
        <f>IF(ISNUMBER(SEARCH(ZAKL_DATA!$B$29,N406)),MAX($M$2:M405)+1,0)</f>
        <v>404</v>
      </c>
      <c r="N406" s="290" t="s">
        <v>2182</v>
      </c>
      <c r="O406" s="305" t="s">
        <v>2183</v>
      </c>
      <c r="Q406" s="292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0" t="s">
        <v>2182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0" t="s">
        <v>2182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0" t="s">
        <v>2182</v>
      </c>
      <c r="Z406" t="str">
        <f>IFERROR(VLOOKUP(ROWS($Z$3:Z406),$X$3:$Y$992,2,0),"")</f>
        <v>Výroba kakaa, čokolády a cukrovinek</v>
      </c>
    </row>
    <row r="407" spans="13:26">
      <c r="M407" s="289">
        <f>IF(ISNUMBER(SEARCH(ZAKL_DATA!$B$29,N407)),MAX($M$2:M406)+1,0)</f>
        <v>405</v>
      </c>
      <c r="N407" s="290" t="s">
        <v>2184</v>
      </c>
      <c r="O407" s="305" t="s">
        <v>2185</v>
      </c>
      <c r="Q407" s="292" t="str">
        <f>IFERROR(VLOOKUP(ROWS($Q$3:Q407),$M$3:$N$992,2,0),"")</f>
        <v>Zpracování čaje a kávy</v>
      </c>
      <c r="R407">
        <f>IF(ISNUMBER(SEARCH('1Př1'!$A$32,N407)),MAX($M$2:M406)+1,0)</f>
        <v>405</v>
      </c>
      <c r="S407" s="290" t="s">
        <v>2184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0" t="s">
        <v>2184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0" t="s">
        <v>2184</v>
      </c>
      <c r="Z407" t="str">
        <f>IFERROR(VLOOKUP(ROWS($Z$3:Z407),$X$3:$Y$992,2,0),"")</f>
        <v>Zpracování čaje a kávy</v>
      </c>
    </row>
    <row r="408" spans="13:26">
      <c r="M408" s="289">
        <f>IF(ISNUMBER(SEARCH(ZAKL_DATA!$B$29,N408)),MAX($M$2:M407)+1,0)</f>
        <v>406</v>
      </c>
      <c r="N408" s="290" t="s">
        <v>2186</v>
      </c>
      <c r="O408" s="305" t="s">
        <v>2187</v>
      </c>
      <c r="Q408" s="292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0" t="s">
        <v>2186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0" t="s">
        <v>2186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0" t="s">
        <v>2186</v>
      </c>
      <c r="Z408" t="str">
        <f>IFERROR(VLOOKUP(ROWS($Z$3:Z408),$X$3:$Y$992,2,0),"")</f>
        <v>Výroba koření a aromatických výtažků</v>
      </c>
    </row>
    <row r="409" spans="13:26">
      <c r="M409" s="289">
        <f>IF(ISNUMBER(SEARCH(ZAKL_DATA!$B$29,N409)),MAX($M$2:M408)+1,0)</f>
        <v>407</v>
      </c>
      <c r="N409" s="290" t="s">
        <v>2188</v>
      </c>
      <c r="O409" s="305" t="s">
        <v>2189</v>
      </c>
      <c r="Q409" s="292" t="str">
        <f>IFERROR(VLOOKUP(ROWS($Q$3:Q409),$M$3:$N$992,2,0),"")</f>
        <v>Výroba hotových pokrmů</v>
      </c>
      <c r="R409">
        <f>IF(ISNUMBER(SEARCH('1Př1'!$A$32,N409)),MAX($M$2:M408)+1,0)</f>
        <v>407</v>
      </c>
      <c r="S409" s="290" t="s">
        <v>2188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0" t="s">
        <v>2188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0" t="s">
        <v>2188</v>
      </c>
      <c r="Z409" t="str">
        <f>IFERROR(VLOOKUP(ROWS($Z$3:Z409),$X$3:$Y$992,2,0),"")</f>
        <v>Výroba hotových pokrmů</v>
      </c>
    </row>
    <row r="410" spans="13:26">
      <c r="M410" s="289">
        <f>IF(ISNUMBER(SEARCH(ZAKL_DATA!$B$29,N410)),MAX($M$2:M409)+1,0)</f>
        <v>408</v>
      </c>
      <c r="N410" s="290" t="s">
        <v>2190</v>
      </c>
      <c r="O410" s="305" t="s">
        <v>2191</v>
      </c>
      <c r="Q410" s="292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0" t="s">
        <v>2190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0" t="s">
        <v>2190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0" t="s">
        <v>2190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89">
        <f>IF(ISNUMBER(SEARCH(ZAKL_DATA!$B$29,N411)),MAX($M$2:M410)+1,0)</f>
        <v>409</v>
      </c>
      <c r="N411" s="290" t="s">
        <v>2192</v>
      </c>
      <c r="O411" s="305" t="s">
        <v>2193</v>
      </c>
      <c r="Q411" s="292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0" t="s">
        <v>2192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0" t="s">
        <v>2192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0" t="s">
        <v>2192</v>
      </c>
      <c r="Z411" t="str">
        <f>IFERROR(VLOOKUP(ROWS($Z$3:Z411),$X$3:$Y$992,2,0),"")</f>
        <v>Výroba ostatních potravinářských výrobků j. n.</v>
      </c>
    </row>
    <row r="412" spans="13:26">
      <c r="M412" s="289">
        <f>IF(ISNUMBER(SEARCH(ZAKL_DATA!$B$29,N412)),MAX($M$2:M411)+1,0)</f>
        <v>410</v>
      </c>
      <c r="N412" s="290" t="s">
        <v>2194</v>
      </c>
      <c r="O412" s="305" t="s">
        <v>2195</v>
      </c>
      <c r="Q412" s="292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0" t="s">
        <v>2194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0" t="s">
        <v>2194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0" t="s">
        <v>2194</v>
      </c>
      <c r="Z412" t="str">
        <f>IFERROR(VLOOKUP(ROWS($Z$3:Z412),$X$3:$Y$992,2,0),"")</f>
        <v>Výroba průmyslových krmiv pro hospodářská zvířata</v>
      </c>
    </row>
    <row r="413" spans="13:26">
      <c r="M413" s="289">
        <f>IF(ISNUMBER(SEARCH(ZAKL_DATA!$B$29,N413)),MAX($M$2:M412)+1,0)</f>
        <v>411</v>
      </c>
      <c r="N413" s="290" t="s">
        <v>2196</v>
      </c>
      <c r="O413" s="305" t="s">
        <v>2197</v>
      </c>
      <c r="Q413" s="292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0" t="s">
        <v>2196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0" t="s">
        <v>2196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0" t="s">
        <v>2196</v>
      </c>
      <c r="Z413" t="str">
        <f>IFERROR(VLOOKUP(ROWS($Z$3:Z413),$X$3:$Y$992,2,0),"")</f>
        <v>Výroba průmyslových krmiv pro zvířata v zájmovém chovu</v>
      </c>
    </row>
    <row r="414" spans="13:26">
      <c r="M414" s="289">
        <f>IF(ISNUMBER(SEARCH(ZAKL_DATA!$B$29,N414)),MAX($M$2:M413)+1,0)</f>
        <v>412</v>
      </c>
      <c r="N414" s="290" t="s">
        <v>2198</v>
      </c>
      <c r="O414" s="305" t="s">
        <v>2199</v>
      </c>
      <c r="Q414" s="292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0" t="s">
        <v>2198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0" t="s">
        <v>2198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0" t="s">
        <v>2198</v>
      </c>
      <c r="Z414" t="str">
        <f>IFERROR(VLOOKUP(ROWS($Z$3:Z414),$X$3:$Y$992,2,0),"")</f>
        <v>Destilace, rektifikace a míchání lihovin</v>
      </c>
    </row>
    <row r="415" spans="13:26">
      <c r="M415" s="289">
        <f>IF(ISNUMBER(SEARCH(ZAKL_DATA!$B$29,N415)),MAX($M$2:M414)+1,0)</f>
        <v>413</v>
      </c>
      <c r="N415" s="290" t="s">
        <v>2200</v>
      </c>
      <c r="O415" s="305" t="s">
        <v>2201</v>
      </c>
      <c r="Q415" s="292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0" t="s">
        <v>2200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0" t="s">
        <v>2200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0" t="s">
        <v>2200</v>
      </c>
      <c r="Z415" t="str">
        <f>IFERROR(VLOOKUP(ROWS($Z$3:Z415),$X$3:$Y$992,2,0),"")</f>
        <v>Výroba vína z vinných hroznů</v>
      </c>
    </row>
    <row r="416" spans="13:26">
      <c r="M416" s="289">
        <f>IF(ISNUMBER(SEARCH(ZAKL_DATA!$B$29,N416)),MAX($M$2:M415)+1,0)</f>
        <v>414</v>
      </c>
      <c r="N416" s="290" t="s">
        <v>2202</v>
      </c>
      <c r="O416" s="305" t="s">
        <v>2203</v>
      </c>
      <c r="Q416" s="292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0" t="s">
        <v>2202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0" t="s">
        <v>2202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0" t="s">
        <v>2202</v>
      </c>
      <c r="Z416" t="str">
        <f>IFERROR(VLOOKUP(ROWS($Z$3:Z416),$X$3:$Y$992,2,0),"")</f>
        <v>Výroba jablečného vína a jiných ovocných vín</v>
      </c>
    </row>
    <row r="417" spans="13:26">
      <c r="M417" s="289">
        <f>IF(ISNUMBER(SEARCH(ZAKL_DATA!$B$29,N417)),MAX($M$2:M416)+1,0)</f>
        <v>415</v>
      </c>
      <c r="N417" s="290" t="s">
        <v>2204</v>
      </c>
      <c r="O417" s="305" t="s">
        <v>2205</v>
      </c>
      <c r="Q417" s="292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0" t="s">
        <v>2204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0" t="s">
        <v>2204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0" t="s">
        <v>2204</v>
      </c>
      <c r="Z417" t="str">
        <f>IFERROR(VLOOKUP(ROWS($Z$3:Z417),$X$3:$Y$992,2,0),"")</f>
        <v>Výroba ostatních nedestilovaných kvašených nápojů</v>
      </c>
    </row>
    <row r="418" spans="13:26">
      <c r="M418" s="289">
        <f>IF(ISNUMBER(SEARCH(ZAKL_DATA!$B$29,N418)),MAX($M$2:M417)+1,0)</f>
        <v>416</v>
      </c>
      <c r="N418" s="290" t="s">
        <v>2206</v>
      </c>
      <c r="O418" s="305" t="s">
        <v>2207</v>
      </c>
      <c r="Q418" s="292" t="str">
        <f>IFERROR(VLOOKUP(ROWS($Q$3:Q418),$M$3:$N$992,2,0),"")</f>
        <v>Výroba piva</v>
      </c>
      <c r="R418">
        <f>IF(ISNUMBER(SEARCH('1Př1'!$A$32,N418)),MAX($M$2:M417)+1,0)</f>
        <v>416</v>
      </c>
      <c r="S418" s="290" t="s">
        <v>2206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0" t="s">
        <v>2206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0" t="s">
        <v>2206</v>
      </c>
      <c r="Z418" t="str">
        <f>IFERROR(VLOOKUP(ROWS($Z$3:Z418),$X$3:$Y$992,2,0),"")</f>
        <v>Výroba piva</v>
      </c>
    </row>
    <row r="419" spans="13:26">
      <c r="M419" s="289">
        <f>IF(ISNUMBER(SEARCH(ZAKL_DATA!$B$29,N419)),MAX($M$2:M418)+1,0)</f>
        <v>417</v>
      </c>
      <c r="N419" s="290" t="s">
        <v>2208</v>
      </c>
      <c r="O419" s="305" t="s">
        <v>2209</v>
      </c>
      <c r="Q419" s="292" t="str">
        <f>IFERROR(VLOOKUP(ROWS($Q$3:Q419),$M$3:$N$992,2,0),"")</f>
        <v>Výroba sladu</v>
      </c>
      <c r="R419">
        <f>IF(ISNUMBER(SEARCH('1Př1'!$A$32,N419)),MAX($M$2:M418)+1,0)</f>
        <v>417</v>
      </c>
      <c r="S419" s="290" t="s">
        <v>2208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0" t="s">
        <v>2208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0" t="s">
        <v>2208</v>
      </c>
      <c r="Z419" t="str">
        <f>IFERROR(VLOOKUP(ROWS($Z$3:Z419),$X$3:$Y$992,2,0),"")</f>
        <v>Výroba sladu</v>
      </c>
    </row>
    <row r="420" spans="13:26">
      <c r="M420" s="289">
        <f>IF(ISNUMBER(SEARCH(ZAKL_DATA!$B$29,N420)),MAX($M$2:M419)+1,0)</f>
        <v>418</v>
      </c>
      <c r="N420" s="290" t="s">
        <v>2210</v>
      </c>
      <c r="O420" s="305" t="s">
        <v>2211</v>
      </c>
      <c r="Q420" s="292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0" t="s">
        <v>2210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0" t="s">
        <v>2210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0" t="s">
        <v>2210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89">
        <f>IF(ISNUMBER(SEARCH(ZAKL_DATA!$B$29,N421)),MAX($M$2:M420)+1,0)</f>
        <v>419</v>
      </c>
      <c r="N421" s="290" t="s">
        <v>2212</v>
      </c>
      <c r="O421" s="305" t="s">
        <v>2213</v>
      </c>
      <c r="Q421" s="292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0" t="s">
        <v>2212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0" t="s">
        <v>2212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0" t="s">
        <v>2212</v>
      </c>
      <c r="Z421" t="str">
        <f>IFERROR(VLOOKUP(ROWS($Z$3:Z421),$X$3:$Y$992,2,0),"")</f>
        <v>Výroba pletených a háčkovaných materiálů</v>
      </c>
    </row>
    <row r="422" spans="13:26">
      <c r="M422" s="289">
        <f>IF(ISNUMBER(SEARCH(ZAKL_DATA!$B$29,N422)),MAX($M$2:M421)+1,0)</f>
        <v>420</v>
      </c>
      <c r="N422" s="290" t="s">
        <v>2214</v>
      </c>
      <c r="O422" s="305" t="s">
        <v>2215</v>
      </c>
      <c r="Q422" s="292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0" t="s">
        <v>2214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0" t="s">
        <v>2214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0" t="s">
        <v>2214</v>
      </c>
      <c r="Z422" t="str">
        <f>IFERROR(VLOOKUP(ROWS($Z$3:Z422),$X$3:$Y$992,2,0),"")</f>
        <v>Výroba konfekčních textilních výrobků, kromě oděvů</v>
      </c>
    </row>
    <row r="423" spans="13:26">
      <c r="M423" s="289">
        <f>IF(ISNUMBER(SEARCH(ZAKL_DATA!$B$29,N423)),MAX($M$2:M422)+1,0)</f>
        <v>421</v>
      </c>
      <c r="N423" s="290" t="s">
        <v>2216</v>
      </c>
      <c r="O423" s="305" t="s">
        <v>2217</v>
      </c>
      <c r="Q423" s="292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0" t="s">
        <v>2216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0" t="s">
        <v>2216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0" t="s">
        <v>2216</v>
      </c>
      <c r="Z423" t="str">
        <f>IFERROR(VLOOKUP(ROWS($Z$3:Z423),$X$3:$Y$992,2,0),"")</f>
        <v>Výroba koberců a kobercových předložek</v>
      </c>
    </row>
    <row r="424" spans="13:26">
      <c r="M424" s="289">
        <f>IF(ISNUMBER(SEARCH(ZAKL_DATA!$B$29,N424)),MAX($M$2:M423)+1,0)</f>
        <v>422</v>
      </c>
      <c r="N424" s="290" t="s">
        <v>2218</v>
      </c>
      <c r="O424" s="305" t="s">
        <v>2219</v>
      </c>
      <c r="Q424" s="292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0" t="s">
        <v>2218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0" t="s">
        <v>2218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0" t="s">
        <v>2218</v>
      </c>
      <c r="Z424" t="str">
        <f>IFERROR(VLOOKUP(ROWS($Z$3:Z424),$X$3:$Y$992,2,0),"")</f>
        <v>Výroba lan, provazů a síťovaných výrobků</v>
      </c>
    </row>
    <row r="425" spans="13:26">
      <c r="M425" s="289">
        <f>IF(ISNUMBER(SEARCH(ZAKL_DATA!$B$29,N425)),MAX($M$2:M424)+1,0)</f>
        <v>423</v>
      </c>
      <c r="N425" s="290" t="s">
        <v>2220</v>
      </c>
      <c r="O425" s="305" t="s">
        <v>2221</v>
      </c>
      <c r="Q425" s="292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0" t="s">
        <v>2220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0" t="s">
        <v>2220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0" t="s">
        <v>2220</v>
      </c>
      <c r="Z425" t="str">
        <f>IFERROR(VLOOKUP(ROWS($Z$3:Z425),$X$3:$Y$992,2,0),"")</f>
        <v>Výroba netkaných textilií a výrobků z nich, kromě oděvů</v>
      </c>
    </row>
    <row r="426" spans="13:26">
      <c r="M426" s="289">
        <f>IF(ISNUMBER(SEARCH(ZAKL_DATA!$B$29,N426)),MAX($M$2:M425)+1,0)</f>
        <v>424</v>
      </c>
      <c r="N426" s="290" t="s">
        <v>2222</v>
      </c>
      <c r="O426" s="305" t="s">
        <v>2223</v>
      </c>
      <c r="Q426" s="292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0" t="s">
        <v>2222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0" t="s">
        <v>2222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0" t="s">
        <v>2222</v>
      </c>
      <c r="Z426" t="str">
        <f>IFERROR(VLOOKUP(ROWS($Z$3:Z426),$X$3:$Y$992,2,0),"")</f>
        <v>Výroba ostatních technických a průmyslových textilií</v>
      </c>
    </row>
    <row r="427" spans="13:26">
      <c r="M427" s="289">
        <f>IF(ISNUMBER(SEARCH(ZAKL_DATA!$B$29,N427)),MAX($M$2:M426)+1,0)</f>
        <v>425</v>
      </c>
      <c r="N427" s="290" t="s">
        <v>2224</v>
      </c>
      <c r="O427" s="305" t="s">
        <v>2225</v>
      </c>
      <c r="Q427" s="292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0" t="s">
        <v>2224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0" t="s">
        <v>2224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0" t="s">
        <v>2224</v>
      </c>
      <c r="Z427" t="str">
        <f>IFERROR(VLOOKUP(ROWS($Z$3:Z427),$X$3:$Y$992,2,0),"")</f>
        <v>Výroba ostatních textilií j. n.</v>
      </c>
    </row>
    <row r="428" spans="13:26">
      <c r="M428" s="289">
        <f>IF(ISNUMBER(SEARCH(ZAKL_DATA!$B$29,N428)),MAX($M$2:M427)+1,0)</f>
        <v>426</v>
      </c>
      <c r="N428" s="290" t="s">
        <v>2226</v>
      </c>
      <c r="O428" s="305" t="s">
        <v>2227</v>
      </c>
      <c r="Q428" s="292" t="str">
        <f>IFERROR(VLOOKUP(ROWS($Q$3:Q428),$M$3:$N$992,2,0),"")</f>
        <v>Výroba kožených oděvů</v>
      </c>
      <c r="R428">
        <f>IF(ISNUMBER(SEARCH('1Př1'!$A$32,N428)),MAX($M$2:M427)+1,0)</f>
        <v>426</v>
      </c>
      <c r="S428" s="290" t="s">
        <v>2226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0" t="s">
        <v>2226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0" t="s">
        <v>2226</v>
      </c>
      <c r="Z428" t="str">
        <f>IFERROR(VLOOKUP(ROWS($Z$3:Z428),$X$3:$Y$992,2,0),"")</f>
        <v>Výroba kožených oděvů</v>
      </c>
    </row>
    <row r="429" spans="13:26">
      <c r="M429" s="289">
        <f>IF(ISNUMBER(SEARCH(ZAKL_DATA!$B$29,N429)),MAX($M$2:M428)+1,0)</f>
        <v>427</v>
      </c>
      <c r="N429" s="290" t="s">
        <v>2228</v>
      </c>
      <c r="O429" s="305" t="s">
        <v>2229</v>
      </c>
      <c r="Q429" s="292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0" t="s">
        <v>2228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0" t="s">
        <v>2228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0" t="s">
        <v>2228</v>
      </c>
      <c r="Z429" t="str">
        <f>IFERROR(VLOOKUP(ROWS($Z$3:Z429),$X$3:$Y$992,2,0),"")</f>
        <v>Výroba pracovních oděvů</v>
      </c>
    </row>
    <row r="430" spans="13:26">
      <c r="M430" s="289">
        <f>IF(ISNUMBER(SEARCH(ZAKL_DATA!$B$29,N430)),MAX($M$2:M429)+1,0)</f>
        <v>428</v>
      </c>
      <c r="N430" s="290" t="s">
        <v>2230</v>
      </c>
      <c r="O430" s="305" t="s">
        <v>2231</v>
      </c>
      <c r="Q430" s="292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0" t="s">
        <v>2230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0" t="s">
        <v>2230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0" t="s">
        <v>2230</v>
      </c>
      <c r="Z430" t="str">
        <f>IFERROR(VLOOKUP(ROWS($Z$3:Z430),$X$3:$Y$992,2,0),"")</f>
        <v>Výroba ostatních svrchních oděvů</v>
      </c>
    </row>
    <row r="431" spans="13:26">
      <c r="M431" s="289">
        <f>IF(ISNUMBER(SEARCH(ZAKL_DATA!$B$29,N431)),MAX($M$2:M430)+1,0)</f>
        <v>429</v>
      </c>
      <c r="N431" s="290" t="s">
        <v>2232</v>
      </c>
      <c r="O431" s="305" t="s">
        <v>2233</v>
      </c>
      <c r="Q431" s="292" t="str">
        <f>IFERROR(VLOOKUP(ROWS($Q$3:Q431),$M$3:$N$992,2,0),"")</f>
        <v>Výroba osobního prádla</v>
      </c>
      <c r="R431">
        <f>IF(ISNUMBER(SEARCH('1Př1'!$A$32,N431)),MAX($M$2:M430)+1,0)</f>
        <v>429</v>
      </c>
      <c r="S431" s="290" t="s">
        <v>2232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0" t="s">
        <v>2232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0" t="s">
        <v>2232</v>
      </c>
      <c r="Z431" t="str">
        <f>IFERROR(VLOOKUP(ROWS($Z$3:Z431),$X$3:$Y$992,2,0),"")</f>
        <v>Výroba osobního prádla</v>
      </c>
    </row>
    <row r="432" spans="13:26">
      <c r="M432" s="289">
        <f>IF(ISNUMBER(SEARCH(ZAKL_DATA!$B$29,N432)),MAX($M$2:M431)+1,0)</f>
        <v>430</v>
      </c>
      <c r="N432" s="290" t="s">
        <v>2234</v>
      </c>
      <c r="O432" s="305" t="s">
        <v>2235</v>
      </c>
      <c r="Q432" s="292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0" t="s">
        <v>2234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0" t="s">
        <v>2234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0" t="s">
        <v>2234</v>
      </c>
      <c r="Z432" t="str">
        <f>IFERROR(VLOOKUP(ROWS($Z$3:Z432),$X$3:$Y$992,2,0),"")</f>
        <v>Výroba ostatních oděvů a oděvních doplňků</v>
      </c>
    </row>
    <row r="433" spans="13:26">
      <c r="M433" s="289">
        <f>IF(ISNUMBER(SEARCH(ZAKL_DATA!$B$29,N433)),MAX($M$2:M432)+1,0)</f>
        <v>431</v>
      </c>
      <c r="N433" s="290" t="s">
        <v>2236</v>
      </c>
      <c r="O433" s="305" t="s">
        <v>2237</v>
      </c>
      <c r="Q433" s="292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0" t="s">
        <v>2236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0" t="s">
        <v>2236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0" t="s">
        <v>2236</v>
      </c>
      <c r="Z433" t="str">
        <f>IFERROR(VLOOKUP(ROWS($Z$3:Z433),$X$3:$Y$992,2,0),"")</f>
        <v>Výroba pletených a háčkovaných punčochových výrobků</v>
      </c>
    </row>
    <row r="434" spans="13:26">
      <c r="M434" s="289">
        <f>IF(ISNUMBER(SEARCH(ZAKL_DATA!$B$29,N434)),MAX($M$2:M433)+1,0)</f>
        <v>432</v>
      </c>
      <c r="N434" s="290" t="s">
        <v>2238</v>
      </c>
      <c r="O434" s="305" t="s">
        <v>2239</v>
      </c>
      <c r="Q434" s="292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0" t="s">
        <v>2238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0" t="s">
        <v>2238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0" t="s">
        <v>2238</v>
      </c>
      <c r="Z434" t="str">
        <f>IFERROR(VLOOKUP(ROWS($Z$3:Z434),$X$3:$Y$992,2,0),"")</f>
        <v>Výroba ostatních pletených a háčkovaných oděvů</v>
      </c>
    </row>
    <row r="435" spans="13:26">
      <c r="M435" s="289">
        <f>IF(ISNUMBER(SEARCH(ZAKL_DATA!$B$29,N435)),MAX($M$2:M434)+1,0)</f>
        <v>433</v>
      </c>
      <c r="N435" s="290" t="s">
        <v>2240</v>
      </c>
      <c r="O435" s="305" t="s">
        <v>2241</v>
      </c>
      <c r="Q435" s="292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0" t="s">
        <v>2240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0" t="s">
        <v>2240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0" t="s">
        <v>2240</v>
      </c>
      <c r="Z435" t="str">
        <f>IFERROR(VLOOKUP(ROWS($Z$3:Z435),$X$3:$Y$992,2,0),"")</f>
        <v>Chov drobných hospodářských zvířat</v>
      </c>
    </row>
    <row r="436" spans="13:26">
      <c r="M436" s="289">
        <f>IF(ISNUMBER(SEARCH(ZAKL_DATA!$B$29,N436)),MAX($M$2:M435)+1,0)</f>
        <v>434</v>
      </c>
      <c r="N436" s="290" t="s">
        <v>2242</v>
      </c>
      <c r="O436" s="305" t="s">
        <v>2243</v>
      </c>
      <c r="Q436" s="292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0" t="s">
        <v>2242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0" t="s">
        <v>2242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0" t="s">
        <v>2242</v>
      </c>
      <c r="Z436" t="str">
        <f>IFERROR(VLOOKUP(ROWS($Z$3:Z436),$X$3:$Y$992,2,0),"")</f>
        <v>Chov kožešinových zvířat</v>
      </c>
    </row>
    <row r="437" spans="13:26">
      <c r="M437" s="289">
        <f>IF(ISNUMBER(SEARCH(ZAKL_DATA!$B$29,N437)),MAX($M$2:M436)+1,0)</f>
        <v>435</v>
      </c>
      <c r="N437" s="290" t="s">
        <v>2244</v>
      </c>
      <c r="O437" s="305" t="s">
        <v>2245</v>
      </c>
      <c r="Q437" s="292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0" t="s">
        <v>2244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0" t="s">
        <v>2244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0" t="s">
        <v>2244</v>
      </c>
      <c r="Z437" t="str">
        <f>IFERROR(VLOOKUP(ROWS($Z$3:Z437),$X$3:$Y$992,2,0),"")</f>
        <v>Chov zvířat pro zájmový chov</v>
      </c>
    </row>
    <row r="438" spans="13:26">
      <c r="M438" s="289">
        <f>IF(ISNUMBER(SEARCH(ZAKL_DATA!$B$29,N438)),MAX($M$2:M437)+1,0)</f>
        <v>436</v>
      </c>
      <c r="N438" s="290" t="s">
        <v>2246</v>
      </c>
      <c r="O438" s="305" t="s">
        <v>2247</v>
      </c>
      <c r="Q438" s="292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0" t="s">
        <v>2246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0" t="s">
        <v>2246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0" t="s">
        <v>2246</v>
      </c>
      <c r="Z438" t="str">
        <f>IFERROR(VLOOKUP(ROWS($Z$3:Z438),$X$3:$Y$992,2,0),"")</f>
        <v>Chov ostatních zvířat j. n.</v>
      </c>
    </row>
    <row r="439" spans="13:26">
      <c r="M439" s="289">
        <f>IF(ISNUMBER(SEARCH(ZAKL_DATA!$B$29,N439)),MAX($M$2:M438)+1,0)</f>
        <v>437</v>
      </c>
      <c r="N439" s="290" t="s">
        <v>2248</v>
      </c>
      <c r="O439" s="305" t="s">
        <v>2249</v>
      </c>
      <c r="Q439" s="292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0" t="s">
        <v>2248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0" t="s">
        <v>2248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0" t="s">
        <v>2248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89">
        <f>IF(ISNUMBER(SEARCH(ZAKL_DATA!$B$29,N440)),MAX($M$2:M439)+1,0)</f>
        <v>438</v>
      </c>
      <c r="N440" s="290" t="s">
        <v>2250</v>
      </c>
      <c r="O440" s="305" t="s">
        <v>2251</v>
      </c>
      <c r="Q440" s="292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0" t="s">
        <v>2250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0" t="s">
        <v>2250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0" t="s">
        <v>2250</v>
      </c>
      <c r="Z440" t="str">
        <f>IFERROR(VLOOKUP(ROWS($Z$3:Z440),$X$3:$Y$992,2,0),"")</f>
        <v>Výroba brašnářských, sedlářských a podobných výrobků</v>
      </c>
    </row>
    <row r="441" spans="13:26">
      <c r="M441" s="289">
        <f>IF(ISNUMBER(SEARCH(ZAKL_DATA!$B$29,N441)),MAX($M$2:M440)+1,0)</f>
        <v>439</v>
      </c>
      <c r="N441" s="290" t="s">
        <v>2252</v>
      </c>
      <c r="O441" s="305" t="s">
        <v>2253</v>
      </c>
      <c r="Q441" s="292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0" t="s">
        <v>2252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0" t="s">
        <v>2252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0" t="s">
        <v>2252</v>
      </c>
      <c r="Z441" t="str">
        <f>IFERROR(VLOOKUP(ROWS($Z$3:Z441),$X$3:$Y$992,2,0),"")</f>
        <v>Výroba dýh a desek na bázi dřeva</v>
      </c>
    </row>
    <row r="442" spans="13:26">
      <c r="M442" s="289">
        <f>IF(ISNUMBER(SEARCH(ZAKL_DATA!$B$29,N442)),MAX($M$2:M441)+1,0)</f>
        <v>440</v>
      </c>
      <c r="N442" s="290" t="s">
        <v>2254</v>
      </c>
      <c r="O442" s="305" t="s">
        <v>2255</v>
      </c>
      <c r="Q442" s="292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0" t="s">
        <v>2254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0" t="s">
        <v>2254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0" t="s">
        <v>2254</v>
      </c>
      <c r="Z442" t="str">
        <f>IFERROR(VLOOKUP(ROWS($Z$3:Z442),$X$3:$Y$992,2,0),"")</f>
        <v>Výroba sestavených parketových podlah</v>
      </c>
    </row>
    <row r="443" spans="13:26">
      <c r="M443" s="289">
        <f>IF(ISNUMBER(SEARCH(ZAKL_DATA!$B$29,N443)),MAX($M$2:M442)+1,0)</f>
        <v>441</v>
      </c>
      <c r="N443" s="290" t="s">
        <v>2256</v>
      </c>
      <c r="O443" s="305" t="s">
        <v>2257</v>
      </c>
      <c r="Q443" s="292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0" t="s">
        <v>2256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0" t="s">
        <v>2256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0" t="s">
        <v>2256</v>
      </c>
      <c r="Z443" t="str">
        <f>IFERROR(VLOOKUP(ROWS($Z$3:Z443),$X$3:$Y$992,2,0),"")</f>
        <v>Výroba ostatních výrobků stavebního truhlářství a tesařství</v>
      </c>
    </row>
    <row r="444" spans="13:26">
      <c r="M444" s="289">
        <f>IF(ISNUMBER(SEARCH(ZAKL_DATA!$B$29,N444)),MAX($M$2:M443)+1,0)</f>
        <v>442</v>
      </c>
      <c r="N444" s="290" t="s">
        <v>2258</v>
      </c>
      <c r="O444" s="305" t="s">
        <v>2259</v>
      </c>
      <c r="Q444" s="292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0" t="s">
        <v>2258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0" t="s">
        <v>2258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0" t="s">
        <v>2258</v>
      </c>
      <c r="Z444" t="str">
        <f>IFERROR(VLOOKUP(ROWS($Z$3:Z444),$X$3:$Y$992,2,0),"")</f>
        <v>Výroba dřevěných obalů</v>
      </c>
    </row>
    <row r="445" spans="13:26">
      <c r="M445" s="289">
        <f>IF(ISNUMBER(SEARCH(ZAKL_DATA!$B$29,N445)),MAX($M$2:M444)+1,0)</f>
        <v>443</v>
      </c>
      <c r="N445" s="290" t="s">
        <v>2260</v>
      </c>
      <c r="O445" s="305" t="s">
        <v>2261</v>
      </c>
      <c r="Q445" s="292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0" t="s">
        <v>2260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0" t="s">
        <v>2260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0" t="s">
        <v>2260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89">
        <f>IF(ISNUMBER(SEARCH(ZAKL_DATA!$B$29,N446)),MAX($M$2:M445)+1,0)</f>
        <v>444</v>
      </c>
      <c r="N446" s="290" t="s">
        <v>2262</v>
      </c>
      <c r="O446" s="305" t="s">
        <v>2263</v>
      </c>
      <c r="Q446" s="292" t="str">
        <f>IFERROR(VLOOKUP(ROWS($Q$3:Q446),$M$3:$N$992,2,0),"")</f>
        <v>Výroba buničiny</v>
      </c>
      <c r="R446">
        <f>IF(ISNUMBER(SEARCH('1Př1'!$A$32,N446)),MAX($M$2:M445)+1,0)</f>
        <v>444</v>
      </c>
      <c r="S446" s="290" t="s">
        <v>2262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0" t="s">
        <v>2262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0" t="s">
        <v>2262</v>
      </c>
      <c r="Z446" t="str">
        <f>IFERROR(VLOOKUP(ROWS($Z$3:Z446),$X$3:$Y$992,2,0),"")</f>
        <v>Výroba buničiny</v>
      </c>
    </row>
    <row r="447" spans="13:26">
      <c r="M447" s="289">
        <f>IF(ISNUMBER(SEARCH(ZAKL_DATA!$B$29,N447)),MAX($M$2:M446)+1,0)</f>
        <v>445</v>
      </c>
      <c r="N447" s="290" t="s">
        <v>2264</v>
      </c>
      <c r="O447" s="305" t="s">
        <v>2265</v>
      </c>
      <c r="Q447" s="292" t="str">
        <f>IFERROR(VLOOKUP(ROWS($Q$3:Q447),$M$3:$N$992,2,0),"")</f>
        <v>Výroba papíru a lepenky</v>
      </c>
      <c r="R447">
        <f>IF(ISNUMBER(SEARCH('1Př1'!$A$32,N447)),MAX($M$2:M446)+1,0)</f>
        <v>445</v>
      </c>
      <c r="S447" s="290" t="s">
        <v>2264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0" t="s">
        <v>2264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0" t="s">
        <v>2264</v>
      </c>
      <c r="Z447" t="str">
        <f>IFERROR(VLOOKUP(ROWS($Z$3:Z447),$X$3:$Y$992,2,0),"")</f>
        <v>Výroba papíru a lepenky</v>
      </c>
    </row>
    <row r="448" spans="13:26">
      <c r="M448" s="289">
        <f>IF(ISNUMBER(SEARCH(ZAKL_DATA!$B$29,N448)),MAX($M$2:M447)+1,0)</f>
        <v>446</v>
      </c>
      <c r="N448" s="290" t="s">
        <v>2266</v>
      </c>
      <c r="O448" s="305" t="s">
        <v>2267</v>
      </c>
      <c r="Q448" s="292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0" t="s">
        <v>2266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0" t="s">
        <v>2266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0" t="s">
        <v>2266</v>
      </c>
      <c r="Z448" t="str">
        <f>IFERROR(VLOOKUP(ROWS($Z$3:Z448),$X$3:$Y$992,2,0),"")</f>
        <v>Výroba vlnitého papíru a lepenky, papírových a lepenkových obalů</v>
      </c>
    </row>
    <row r="449" spans="13:26">
      <c r="M449" s="289">
        <f>IF(ISNUMBER(SEARCH(ZAKL_DATA!$B$29,N449)),MAX($M$2:M448)+1,0)</f>
        <v>447</v>
      </c>
      <c r="N449" s="290" t="s">
        <v>2268</v>
      </c>
      <c r="O449" s="305" t="s">
        <v>2269</v>
      </c>
      <c r="Q449" s="292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0" t="s">
        <v>2268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0" t="s">
        <v>2268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0" t="s">
        <v>2268</v>
      </c>
      <c r="Z449" t="str">
        <f>IFERROR(VLOOKUP(ROWS($Z$3:Z449),$X$3:$Y$992,2,0),"")</f>
        <v>Výroba domácích potřeb, hygienických a toaletních výrobků z papíru</v>
      </c>
    </row>
    <row r="450" spans="13:26">
      <c r="M450" s="289">
        <f>IF(ISNUMBER(SEARCH(ZAKL_DATA!$B$29,N450)),MAX($M$2:M449)+1,0)</f>
        <v>448</v>
      </c>
      <c r="N450" s="290" t="s">
        <v>2270</v>
      </c>
      <c r="O450" s="305" t="s">
        <v>2271</v>
      </c>
      <c r="Q450" s="292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0" t="s">
        <v>2270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0" t="s">
        <v>2270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0" t="s">
        <v>2270</v>
      </c>
      <c r="Z450" t="str">
        <f>IFERROR(VLOOKUP(ROWS($Z$3:Z450),$X$3:$Y$992,2,0),"")</f>
        <v>Výroba kancelářských potřeb z papíru</v>
      </c>
    </row>
    <row r="451" spans="13:26">
      <c r="M451" s="289">
        <f>IF(ISNUMBER(SEARCH(ZAKL_DATA!$B$29,N451)),MAX($M$2:M450)+1,0)</f>
        <v>449</v>
      </c>
      <c r="N451" s="290" t="s">
        <v>2272</v>
      </c>
      <c r="O451" s="305" t="s">
        <v>2273</v>
      </c>
      <c r="Q451" s="292" t="str">
        <f>IFERROR(VLOOKUP(ROWS($Q$3:Q451),$M$3:$N$992,2,0),"")</f>
        <v>Výroba tapet</v>
      </c>
      <c r="R451">
        <f>IF(ISNUMBER(SEARCH('1Př1'!$A$32,N451)),MAX($M$2:M450)+1,0)</f>
        <v>449</v>
      </c>
      <c r="S451" s="290" t="s">
        <v>2272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0" t="s">
        <v>2272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0" t="s">
        <v>2272</v>
      </c>
      <c r="Z451" t="str">
        <f>IFERROR(VLOOKUP(ROWS($Z$3:Z451),$X$3:$Y$992,2,0),"")</f>
        <v>Výroba tapet</v>
      </c>
    </row>
    <row r="452" spans="13:26">
      <c r="M452" s="289">
        <f>IF(ISNUMBER(SEARCH(ZAKL_DATA!$B$29,N452)),MAX($M$2:M451)+1,0)</f>
        <v>450</v>
      </c>
      <c r="N452" s="290" t="s">
        <v>2274</v>
      </c>
      <c r="O452" s="305" t="s">
        <v>2275</v>
      </c>
      <c r="Q452" s="292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0" t="s">
        <v>2274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0" t="s">
        <v>2274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0" t="s">
        <v>2274</v>
      </c>
      <c r="Z452" t="str">
        <f>IFERROR(VLOOKUP(ROWS($Z$3:Z452),$X$3:$Y$992,2,0),"")</f>
        <v>Výroba ostatních výrobků z papíru a lepenky</v>
      </c>
    </row>
    <row r="453" spans="13:26">
      <c r="M453" s="289">
        <f>IF(ISNUMBER(SEARCH(ZAKL_DATA!$B$29,N453)),MAX($M$2:M452)+1,0)</f>
        <v>451</v>
      </c>
      <c r="N453" s="290" t="s">
        <v>2276</v>
      </c>
      <c r="O453" s="305" t="s">
        <v>2277</v>
      </c>
      <c r="Q453" s="292" t="str">
        <f>IFERROR(VLOOKUP(ROWS($Q$3:Q453),$M$3:$N$992,2,0),"")</f>
        <v>Tisk novin</v>
      </c>
      <c r="R453">
        <f>IF(ISNUMBER(SEARCH('1Př1'!$A$32,N453)),MAX($M$2:M452)+1,0)</f>
        <v>451</v>
      </c>
      <c r="S453" s="290" t="s">
        <v>2276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0" t="s">
        <v>2276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0" t="s">
        <v>2276</v>
      </c>
      <c r="Z453" t="str">
        <f>IFERROR(VLOOKUP(ROWS($Z$3:Z453),$X$3:$Y$992,2,0),"")</f>
        <v>Tisk novin</v>
      </c>
    </row>
    <row r="454" spans="13:26">
      <c r="M454" s="289">
        <f>IF(ISNUMBER(SEARCH(ZAKL_DATA!$B$29,N454)),MAX($M$2:M453)+1,0)</f>
        <v>452</v>
      </c>
      <c r="N454" s="290" t="s">
        <v>2278</v>
      </c>
      <c r="O454" s="305" t="s">
        <v>2279</v>
      </c>
      <c r="Q454" s="292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0" t="s">
        <v>2278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0" t="s">
        <v>2278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0" t="s">
        <v>2278</v>
      </c>
      <c r="Z454" t="str">
        <f>IFERROR(VLOOKUP(ROWS($Z$3:Z454),$X$3:$Y$992,2,0),"")</f>
        <v>Tisk ostatní, kromě novin</v>
      </c>
    </row>
    <row r="455" spans="13:26">
      <c r="M455" s="289">
        <f>IF(ISNUMBER(SEARCH(ZAKL_DATA!$B$29,N455)),MAX($M$2:M454)+1,0)</f>
        <v>453</v>
      </c>
      <c r="N455" s="290" t="s">
        <v>2280</v>
      </c>
      <c r="O455" s="305" t="s">
        <v>2281</v>
      </c>
      <c r="Q455" s="292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0" t="s">
        <v>2280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0" t="s">
        <v>2280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0" t="s">
        <v>2280</v>
      </c>
      <c r="Z455" t="str">
        <f>IFERROR(VLOOKUP(ROWS($Z$3:Z455),$X$3:$Y$992,2,0),"")</f>
        <v>Příprava tisku a digitálních dat</v>
      </c>
    </row>
    <row r="456" spans="13:26">
      <c r="M456" s="289">
        <f>IF(ISNUMBER(SEARCH(ZAKL_DATA!$B$29,N456)),MAX($M$2:M455)+1,0)</f>
        <v>454</v>
      </c>
      <c r="N456" s="290" t="s">
        <v>2282</v>
      </c>
      <c r="O456" s="305" t="s">
        <v>2283</v>
      </c>
      <c r="Q456" s="292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0" t="s">
        <v>2282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0" t="s">
        <v>2282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0" t="s">
        <v>2282</v>
      </c>
      <c r="Z456" t="str">
        <f>IFERROR(VLOOKUP(ROWS($Z$3:Z456),$X$3:$Y$992,2,0),"")</f>
        <v>Vázání a související činnosti</v>
      </c>
    </row>
    <row r="457" spans="13:26">
      <c r="M457" s="289">
        <f>IF(ISNUMBER(SEARCH(ZAKL_DATA!$B$29,N457)),MAX($M$2:M456)+1,0)</f>
        <v>455</v>
      </c>
      <c r="N457" s="290" t="s">
        <v>2284</v>
      </c>
      <c r="O457" s="305" t="s">
        <v>2285</v>
      </c>
      <c r="Q457" s="292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0" t="s">
        <v>2284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0" t="s">
        <v>2284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0" t="s">
        <v>2284</v>
      </c>
      <c r="Z457" t="str">
        <f>IFERROR(VLOOKUP(ROWS($Z$3:Z457),$X$3:$Y$992,2,0),"")</f>
        <v>Výroba technických plynů</v>
      </c>
    </row>
    <row r="458" spans="13:26">
      <c r="M458" s="289">
        <f>IF(ISNUMBER(SEARCH(ZAKL_DATA!$B$29,N458)),MAX($M$2:M457)+1,0)</f>
        <v>456</v>
      </c>
      <c r="N458" s="290" t="s">
        <v>2286</v>
      </c>
      <c r="O458" s="305" t="s">
        <v>2287</v>
      </c>
      <c r="Q458" s="292" t="str">
        <f>IFERROR(VLOOKUP(ROWS($Q$3:Q458),$M$3:$N$992,2,0),"")</f>
        <v>Výroba barviv a pigmentů</v>
      </c>
      <c r="R458">
        <f>IF(ISNUMBER(SEARCH('1Př1'!$A$32,N458)),MAX($M$2:M457)+1,0)</f>
        <v>456</v>
      </c>
      <c r="S458" s="290" t="s">
        <v>2286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0" t="s">
        <v>2286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0" t="s">
        <v>2286</v>
      </c>
      <c r="Z458" t="str">
        <f>IFERROR(VLOOKUP(ROWS($Z$3:Z458),$X$3:$Y$992,2,0),"")</f>
        <v>Výroba barviv a pigmentů</v>
      </c>
    </row>
    <row r="459" spans="13:26">
      <c r="M459" s="289">
        <f>IF(ISNUMBER(SEARCH(ZAKL_DATA!$B$29,N459)),MAX($M$2:M458)+1,0)</f>
        <v>457</v>
      </c>
      <c r="N459" s="290" t="s">
        <v>2288</v>
      </c>
      <c r="O459" s="305" t="s">
        <v>2289</v>
      </c>
      <c r="Q459" s="292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0" t="s">
        <v>2288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0" t="s">
        <v>2288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0" t="s">
        <v>2288</v>
      </c>
      <c r="Z459" t="str">
        <f>IFERROR(VLOOKUP(ROWS($Z$3:Z459),$X$3:$Y$992,2,0),"")</f>
        <v>Výroba jiných základních anorganických chemických látek</v>
      </c>
    </row>
    <row r="460" spans="13:26">
      <c r="M460" s="289">
        <f>IF(ISNUMBER(SEARCH(ZAKL_DATA!$B$29,N460)),MAX($M$2:M459)+1,0)</f>
        <v>458</v>
      </c>
      <c r="N460" s="290" t="s">
        <v>2290</v>
      </c>
      <c r="O460" s="305" t="s">
        <v>2291</v>
      </c>
      <c r="Q460" s="292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0" t="s">
        <v>2290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0" t="s">
        <v>2290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0" t="s">
        <v>2290</v>
      </c>
      <c r="Z460" t="str">
        <f>IFERROR(VLOOKUP(ROWS($Z$3:Z460),$X$3:$Y$992,2,0),"")</f>
        <v>Výroba jiných základních organických chemických látek</v>
      </c>
    </row>
    <row r="461" spans="13:26">
      <c r="M461" s="289">
        <f>IF(ISNUMBER(SEARCH(ZAKL_DATA!$B$29,N461)),MAX($M$2:M460)+1,0)</f>
        <v>459</v>
      </c>
      <c r="N461" s="290" t="s">
        <v>2292</v>
      </c>
      <c r="O461" s="305" t="s">
        <v>2293</v>
      </c>
      <c r="Q461" s="292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0" t="s">
        <v>2292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0" t="s">
        <v>2292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0" t="s">
        <v>2292</v>
      </c>
      <c r="Z461" t="str">
        <f>IFERROR(VLOOKUP(ROWS($Z$3:Z461),$X$3:$Y$992,2,0),"")</f>
        <v>Výroba hnojiv a dusíkatých sloučenin</v>
      </c>
    </row>
    <row r="462" spans="13:26">
      <c r="M462" s="289">
        <f>IF(ISNUMBER(SEARCH(ZAKL_DATA!$B$29,N462)),MAX($M$2:M461)+1,0)</f>
        <v>460</v>
      </c>
      <c r="N462" s="290" t="s">
        <v>2294</v>
      </c>
      <c r="O462" s="305" t="s">
        <v>2295</v>
      </c>
      <c r="Q462" s="292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0" t="s">
        <v>2294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0" t="s">
        <v>2294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0" t="s">
        <v>2294</v>
      </c>
      <c r="Z462" t="str">
        <f>IFERROR(VLOOKUP(ROWS($Z$3:Z462),$X$3:$Y$992,2,0),"")</f>
        <v>Výroba plastů v primárních formách</v>
      </c>
    </row>
    <row r="463" spans="13:26">
      <c r="M463" s="289">
        <f>IF(ISNUMBER(SEARCH(ZAKL_DATA!$B$29,N463)),MAX($M$2:M462)+1,0)</f>
        <v>461</v>
      </c>
      <c r="N463" s="290" t="s">
        <v>2296</v>
      </c>
      <c r="O463" s="305" t="s">
        <v>2297</v>
      </c>
      <c r="Q463" s="292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0" t="s">
        <v>2296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0" t="s">
        <v>2296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0" t="s">
        <v>2296</v>
      </c>
      <c r="Z463" t="str">
        <f>IFERROR(VLOOKUP(ROWS($Z$3:Z463),$X$3:$Y$992,2,0),"")</f>
        <v>Výroba syntetického kaučuku v primárních formách</v>
      </c>
    </row>
    <row r="464" spans="13:26">
      <c r="M464" s="289">
        <f>IF(ISNUMBER(SEARCH(ZAKL_DATA!$B$29,N464)),MAX($M$2:M463)+1,0)</f>
        <v>462</v>
      </c>
      <c r="N464" s="290" t="s">
        <v>2298</v>
      </c>
      <c r="O464" s="305" t="s">
        <v>2299</v>
      </c>
      <c r="Q464" s="292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0" t="s">
        <v>2298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0" t="s">
        <v>2298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0" t="s">
        <v>2298</v>
      </c>
      <c r="Z464" t="str">
        <f>IFERROR(VLOOKUP(ROWS($Z$3:Z464),$X$3:$Y$992,2,0),"")</f>
        <v>Výroba mýdel a detergentů, čisticích a lešticích prostředků</v>
      </c>
    </row>
    <row r="465" spans="13:26">
      <c r="M465" s="289">
        <f>IF(ISNUMBER(SEARCH(ZAKL_DATA!$B$29,N465)),MAX($M$2:M464)+1,0)</f>
        <v>463</v>
      </c>
      <c r="N465" s="290" t="s">
        <v>2300</v>
      </c>
      <c r="O465" s="305" t="s">
        <v>2301</v>
      </c>
      <c r="Q465" s="292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0" t="s">
        <v>2300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0" t="s">
        <v>2300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0" t="s">
        <v>2300</v>
      </c>
      <c r="Z465" t="str">
        <f>IFERROR(VLOOKUP(ROWS($Z$3:Z465),$X$3:$Y$992,2,0),"")</f>
        <v>Výroba parfémů a toaletních přípravků</v>
      </c>
    </row>
    <row r="466" spans="13:26">
      <c r="M466" s="289">
        <f>IF(ISNUMBER(SEARCH(ZAKL_DATA!$B$29,N466)),MAX($M$2:M465)+1,0)</f>
        <v>464</v>
      </c>
      <c r="N466" s="290" t="s">
        <v>2302</v>
      </c>
      <c r="O466" s="305" t="s">
        <v>2303</v>
      </c>
      <c r="Q466" s="292" t="str">
        <f>IFERROR(VLOOKUP(ROWS($Q$3:Q466),$M$3:$N$992,2,0),"")</f>
        <v>Výroba výbušnin</v>
      </c>
      <c r="R466">
        <f>IF(ISNUMBER(SEARCH('1Př1'!$A$32,N466)),MAX($M$2:M465)+1,0)</f>
        <v>464</v>
      </c>
      <c r="S466" s="290" t="s">
        <v>2302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0" t="s">
        <v>2302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0" t="s">
        <v>2302</v>
      </c>
      <c r="Z466" t="str">
        <f>IFERROR(VLOOKUP(ROWS($Z$3:Z466),$X$3:$Y$992,2,0),"")</f>
        <v>Výroba výbušnin</v>
      </c>
    </row>
    <row r="467" spans="13:26">
      <c r="M467" s="289">
        <f>IF(ISNUMBER(SEARCH(ZAKL_DATA!$B$29,N467)),MAX($M$2:M466)+1,0)</f>
        <v>465</v>
      </c>
      <c r="N467" s="290" t="s">
        <v>2304</v>
      </c>
      <c r="O467" s="305" t="s">
        <v>2305</v>
      </c>
      <c r="Q467" s="292" t="str">
        <f>IFERROR(VLOOKUP(ROWS($Q$3:Q467),$M$3:$N$992,2,0),"")</f>
        <v>Výroba klihů</v>
      </c>
      <c r="R467">
        <f>IF(ISNUMBER(SEARCH('1Př1'!$A$32,N467)),MAX($M$2:M466)+1,0)</f>
        <v>465</v>
      </c>
      <c r="S467" s="290" t="s">
        <v>2304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0" t="s">
        <v>2304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0" t="s">
        <v>2304</v>
      </c>
      <c r="Z467" t="str">
        <f>IFERROR(VLOOKUP(ROWS($Z$3:Z467),$X$3:$Y$992,2,0),"")</f>
        <v>Výroba klihů</v>
      </c>
    </row>
    <row r="468" spans="13:26">
      <c r="M468" s="289">
        <f>IF(ISNUMBER(SEARCH(ZAKL_DATA!$B$29,N468)),MAX($M$2:M467)+1,0)</f>
        <v>466</v>
      </c>
      <c r="N468" s="290" t="s">
        <v>2306</v>
      </c>
      <c r="O468" s="305" t="s">
        <v>2307</v>
      </c>
      <c r="Q468" s="292" t="str">
        <f>IFERROR(VLOOKUP(ROWS($Q$3:Q468),$M$3:$N$992,2,0),"")</f>
        <v>Výroba vonných silic</v>
      </c>
      <c r="R468">
        <f>IF(ISNUMBER(SEARCH('1Př1'!$A$32,N468)),MAX($M$2:M467)+1,0)</f>
        <v>466</v>
      </c>
      <c r="S468" s="290" t="s">
        <v>2306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0" t="s">
        <v>2306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0" t="s">
        <v>2306</v>
      </c>
      <c r="Z468" t="str">
        <f>IFERROR(VLOOKUP(ROWS($Z$3:Z468),$X$3:$Y$992,2,0),"")</f>
        <v>Výroba vonných silic</v>
      </c>
    </row>
    <row r="469" spans="13:26">
      <c r="M469" s="289">
        <f>IF(ISNUMBER(SEARCH(ZAKL_DATA!$B$29,N469)),MAX($M$2:M468)+1,0)</f>
        <v>467</v>
      </c>
      <c r="N469" s="290" t="s">
        <v>2308</v>
      </c>
      <c r="O469" s="305" t="s">
        <v>2309</v>
      </c>
      <c r="Q469" s="292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0" t="s">
        <v>2308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0" t="s">
        <v>2308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0" t="s">
        <v>2308</v>
      </c>
      <c r="Z469" t="str">
        <f>IFERROR(VLOOKUP(ROWS($Z$3:Z469),$X$3:$Y$992,2,0),"")</f>
        <v>Výroba ostatních chemických výrobků j. n.</v>
      </c>
    </row>
    <row r="470" spans="13:26">
      <c r="M470" s="289">
        <f>IF(ISNUMBER(SEARCH(ZAKL_DATA!$B$29,N470)),MAX($M$2:M469)+1,0)</f>
        <v>468</v>
      </c>
      <c r="N470" s="290" t="s">
        <v>2310</v>
      </c>
      <c r="O470" s="305" t="s">
        <v>2311</v>
      </c>
      <c r="Q470" s="292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0" t="s">
        <v>2310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0" t="s">
        <v>2310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0" t="s">
        <v>2310</v>
      </c>
      <c r="Z470" t="str">
        <f>IFERROR(VLOOKUP(ROWS($Z$3:Z470),$X$3:$Y$992,2,0),"")</f>
        <v>Výroba pryžových plášťů a duší; protektorování pneumatik</v>
      </c>
    </row>
    <row r="471" spans="13:26">
      <c r="M471" s="289">
        <f>IF(ISNUMBER(SEARCH(ZAKL_DATA!$B$29,N471)),MAX($M$2:M470)+1,0)</f>
        <v>469</v>
      </c>
      <c r="N471" s="290" t="s">
        <v>2312</v>
      </c>
      <c r="O471" s="305" t="s">
        <v>2313</v>
      </c>
      <c r="Q471" s="292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0" t="s">
        <v>2312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0" t="s">
        <v>2312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0" t="s">
        <v>2312</v>
      </c>
      <c r="Z471" t="str">
        <f>IFERROR(VLOOKUP(ROWS($Z$3:Z471),$X$3:$Y$992,2,0),"")</f>
        <v>Výroba ostatních pryžových výrobků</v>
      </c>
    </row>
    <row r="472" spans="13:26">
      <c r="M472" s="289">
        <f>IF(ISNUMBER(SEARCH(ZAKL_DATA!$B$29,N472)),MAX($M$2:M471)+1,0)</f>
        <v>470</v>
      </c>
      <c r="N472" s="290" t="s">
        <v>2314</v>
      </c>
      <c r="O472" s="305" t="s">
        <v>2315</v>
      </c>
      <c r="Q472" s="292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0" t="s">
        <v>2314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0" t="s">
        <v>2314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0" t="s">
        <v>2314</v>
      </c>
      <c r="Z472" t="str">
        <f>IFERROR(VLOOKUP(ROWS($Z$3:Z472),$X$3:$Y$992,2,0),"")</f>
        <v>Výroba plastových desek, fólií, hadic, trubek a profilů</v>
      </c>
    </row>
    <row r="473" spans="13:26">
      <c r="M473" s="289">
        <f>IF(ISNUMBER(SEARCH(ZAKL_DATA!$B$29,N473)),MAX($M$2:M472)+1,0)</f>
        <v>471</v>
      </c>
      <c r="N473" s="290" t="s">
        <v>2316</v>
      </c>
      <c r="O473" s="305" t="s">
        <v>2317</v>
      </c>
      <c r="Q473" s="292" t="str">
        <f>IFERROR(VLOOKUP(ROWS($Q$3:Q473),$M$3:$N$992,2,0),"")</f>
        <v>Výroba plastových obalů</v>
      </c>
      <c r="R473">
        <f>IF(ISNUMBER(SEARCH('1Př1'!$A$32,N473)),MAX($M$2:M472)+1,0)</f>
        <v>471</v>
      </c>
      <c r="S473" s="290" t="s">
        <v>2316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0" t="s">
        <v>2316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0" t="s">
        <v>2316</v>
      </c>
      <c r="Z473" t="str">
        <f>IFERROR(VLOOKUP(ROWS($Z$3:Z473),$X$3:$Y$992,2,0),"")</f>
        <v>Výroba plastových obalů</v>
      </c>
    </row>
    <row r="474" spans="13:26">
      <c r="M474" s="289">
        <f>IF(ISNUMBER(SEARCH(ZAKL_DATA!$B$29,N474)),MAX($M$2:M473)+1,0)</f>
        <v>472</v>
      </c>
      <c r="N474" s="290" t="s">
        <v>2318</v>
      </c>
      <c r="O474" s="305" t="s">
        <v>2319</v>
      </c>
      <c r="Q474" s="292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0" t="s">
        <v>2318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0" t="s">
        <v>2318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0" t="s">
        <v>2318</v>
      </c>
      <c r="Z474" t="str">
        <f>IFERROR(VLOOKUP(ROWS($Z$3:Z474),$X$3:$Y$992,2,0),"")</f>
        <v>Výroba plastových výrobků pro stavebnictví</v>
      </c>
    </row>
    <row r="475" spans="13:26">
      <c r="M475" s="289">
        <f>IF(ISNUMBER(SEARCH(ZAKL_DATA!$B$29,N475)),MAX($M$2:M474)+1,0)</f>
        <v>473</v>
      </c>
      <c r="N475" s="290" t="s">
        <v>2320</v>
      </c>
      <c r="O475" s="305" t="s">
        <v>2321</v>
      </c>
      <c r="Q475" s="292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0" t="s">
        <v>2320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0" t="s">
        <v>2320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0" t="s">
        <v>2320</v>
      </c>
      <c r="Z475" t="str">
        <f>IFERROR(VLOOKUP(ROWS($Z$3:Z475),$X$3:$Y$992,2,0),"")</f>
        <v>Výroba ostatních plastových výrobků</v>
      </c>
    </row>
    <row r="476" spans="13:26">
      <c r="M476" s="289">
        <f>IF(ISNUMBER(SEARCH(ZAKL_DATA!$B$29,N476)),MAX($M$2:M475)+1,0)</f>
        <v>474</v>
      </c>
      <c r="N476" s="290" t="s">
        <v>2322</v>
      </c>
      <c r="O476" s="305" t="s">
        <v>2323</v>
      </c>
      <c r="Q476" s="292" t="str">
        <f>IFERROR(VLOOKUP(ROWS($Q$3:Q476),$M$3:$N$992,2,0),"")</f>
        <v>Výroba plochého skla</v>
      </c>
      <c r="R476">
        <f>IF(ISNUMBER(SEARCH('1Př1'!$A$32,N476)),MAX($M$2:M475)+1,0)</f>
        <v>474</v>
      </c>
      <c r="S476" s="290" t="s">
        <v>2322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0" t="s">
        <v>2322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0" t="s">
        <v>2322</v>
      </c>
      <c r="Z476" t="str">
        <f>IFERROR(VLOOKUP(ROWS($Z$3:Z476),$X$3:$Y$992,2,0),"")</f>
        <v>Výroba plochého skla</v>
      </c>
    </row>
    <row r="477" spans="13:26">
      <c r="M477" s="289">
        <f>IF(ISNUMBER(SEARCH(ZAKL_DATA!$B$29,N477)),MAX($M$2:M476)+1,0)</f>
        <v>475</v>
      </c>
      <c r="N477" s="290" t="s">
        <v>2324</v>
      </c>
      <c r="O477" s="305" t="s">
        <v>2325</v>
      </c>
      <c r="Q477" s="292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0" t="s">
        <v>2324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0" t="s">
        <v>2324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0" t="s">
        <v>2324</v>
      </c>
      <c r="Z477" t="str">
        <f>IFERROR(VLOOKUP(ROWS($Z$3:Z477),$X$3:$Y$992,2,0),"")</f>
        <v>Tvarování a zpracování plochého skla</v>
      </c>
    </row>
    <row r="478" spans="13:26">
      <c r="M478" s="289">
        <f>IF(ISNUMBER(SEARCH(ZAKL_DATA!$B$29,N478)),MAX($M$2:M477)+1,0)</f>
        <v>476</v>
      </c>
      <c r="N478" s="290" t="s">
        <v>2326</v>
      </c>
      <c r="O478" s="305" t="s">
        <v>2327</v>
      </c>
      <c r="Q478" s="292" t="str">
        <f>IFERROR(VLOOKUP(ROWS($Q$3:Q478),$M$3:$N$992,2,0),"")</f>
        <v>Výroba dutého skla</v>
      </c>
      <c r="R478">
        <f>IF(ISNUMBER(SEARCH('1Př1'!$A$32,N478)),MAX($M$2:M477)+1,0)</f>
        <v>476</v>
      </c>
      <c r="S478" s="290" t="s">
        <v>2326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0" t="s">
        <v>2326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0" t="s">
        <v>2326</v>
      </c>
      <c r="Z478" t="str">
        <f>IFERROR(VLOOKUP(ROWS($Z$3:Z478),$X$3:$Y$992,2,0),"")</f>
        <v>Výroba dutého skla</v>
      </c>
    </row>
    <row r="479" spans="13:26">
      <c r="M479" s="289">
        <f>IF(ISNUMBER(SEARCH(ZAKL_DATA!$B$29,N479)),MAX($M$2:M478)+1,0)</f>
        <v>477</v>
      </c>
      <c r="N479" s="290" t="s">
        <v>2328</v>
      </c>
      <c r="O479" s="305" t="s">
        <v>2329</v>
      </c>
      <c r="Q479" s="292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0" t="s">
        <v>2328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0" t="s">
        <v>2328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0" t="s">
        <v>2328</v>
      </c>
      <c r="Z479" t="str">
        <f>IFERROR(VLOOKUP(ROWS($Z$3:Z479),$X$3:$Y$992,2,0),"")</f>
        <v>Výroba skleněných vláken</v>
      </c>
    </row>
    <row r="480" spans="13:26">
      <c r="M480" s="289">
        <f>IF(ISNUMBER(SEARCH(ZAKL_DATA!$B$29,N480)),MAX($M$2:M479)+1,0)</f>
        <v>478</v>
      </c>
      <c r="N480" s="290" t="s">
        <v>2330</v>
      </c>
      <c r="O480" s="305" t="s">
        <v>2331</v>
      </c>
      <c r="Q480" s="292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0" t="s">
        <v>2330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0" t="s">
        <v>2330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0" t="s">
        <v>2330</v>
      </c>
      <c r="Z480" t="str">
        <f>IFERROR(VLOOKUP(ROWS($Z$3:Z480),$X$3:$Y$992,2,0),"")</f>
        <v>Výroba a zpracování ostatního skla vč. technického</v>
      </c>
    </row>
    <row r="481" spans="13:26">
      <c r="M481" s="289">
        <f>IF(ISNUMBER(SEARCH(ZAKL_DATA!$B$29,N481)),MAX($M$2:M480)+1,0)</f>
        <v>479</v>
      </c>
      <c r="N481" s="290" t="s">
        <v>2332</v>
      </c>
      <c r="O481" s="305" t="s">
        <v>2333</v>
      </c>
      <c r="Q481" s="292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0" t="s">
        <v>2332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0" t="s">
        <v>2332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0" t="s">
        <v>2332</v>
      </c>
      <c r="Z481" t="str">
        <f>IFERROR(VLOOKUP(ROWS($Z$3:Z481),$X$3:$Y$992,2,0),"")</f>
        <v>Výroba keramických obkládaček a dlaždic</v>
      </c>
    </row>
    <row r="482" spans="13:26">
      <c r="M482" s="289">
        <f>IF(ISNUMBER(SEARCH(ZAKL_DATA!$B$29,N482)),MAX($M$2:M481)+1,0)</f>
        <v>480</v>
      </c>
      <c r="N482" s="290" t="s">
        <v>2334</v>
      </c>
      <c r="O482" s="305" t="s">
        <v>2335</v>
      </c>
      <c r="Q482" s="292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0" t="s">
        <v>2334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0" t="s">
        <v>2334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0" t="s">
        <v>2334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89">
        <f>IF(ISNUMBER(SEARCH(ZAKL_DATA!$B$29,N483)),MAX($M$2:M482)+1,0)</f>
        <v>481</v>
      </c>
      <c r="N483" s="290" t="s">
        <v>2336</v>
      </c>
      <c r="O483" s="305" t="s">
        <v>2337</v>
      </c>
      <c r="Q483" s="292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0" t="s">
        <v>2336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0" t="s">
        <v>2336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0" t="s">
        <v>2336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89">
        <f>IF(ISNUMBER(SEARCH(ZAKL_DATA!$B$29,N484)),MAX($M$2:M483)+1,0)</f>
        <v>482</v>
      </c>
      <c r="N484" s="290" t="s">
        <v>2338</v>
      </c>
      <c r="O484" s="305" t="s">
        <v>2339</v>
      </c>
      <c r="Q484" s="292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0" t="s">
        <v>2338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0" t="s">
        <v>2338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0" t="s">
        <v>2338</v>
      </c>
      <c r="Z484" t="str">
        <f>IFERROR(VLOOKUP(ROWS($Z$3:Z484),$X$3:$Y$992,2,0),"")</f>
        <v>Výroba keramických sanitárních výrobků</v>
      </c>
    </row>
    <row r="485" spans="13:26">
      <c r="M485" s="289">
        <f>IF(ISNUMBER(SEARCH(ZAKL_DATA!$B$29,N485)),MAX($M$2:M484)+1,0)</f>
        <v>483</v>
      </c>
      <c r="N485" s="290" t="s">
        <v>2340</v>
      </c>
      <c r="O485" s="305" t="s">
        <v>2341</v>
      </c>
      <c r="Q485" s="292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0" t="s">
        <v>2340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0" t="s">
        <v>2340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0" t="s">
        <v>2340</v>
      </c>
      <c r="Z485" t="str">
        <f>IFERROR(VLOOKUP(ROWS($Z$3:Z485),$X$3:$Y$992,2,0),"")</f>
        <v>Výroba keramických izolátorů a izolačního příslušenství</v>
      </c>
    </row>
    <row r="486" spans="13:26">
      <c r="M486" s="289">
        <f>IF(ISNUMBER(SEARCH(ZAKL_DATA!$B$29,N486)),MAX($M$2:M485)+1,0)</f>
        <v>484</v>
      </c>
      <c r="N486" s="290" t="s">
        <v>2342</v>
      </c>
      <c r="O486" s="305" t="s">
        <v>2343</v>
      </c>
      <c r="Q486" s="292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0" t="s">
        <v>2342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0" t="s">
        <v>2342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0" t="s">
        <v>2342</v>
      </c>
      <c r="Z486" t="str">
        <f>IFERROR(VLOOKUP(ROWS($Z$3:Z486),$X$3:$Y$992,2,0),"")</f>
        <v>Výroba ostatních technických keramických výrobků</v>
      </c>
    </row>
    <row r="487" spans="13:26">
      <c r="M487" s="289">
        <f>IF(ISNUMBER(SEARCH(ZAKL_DATA!$B$29,N487)),MAX($M$2:M486)+1,0)</f>
        <v>485</v>
      </c>
      <c r="N487" s="290" t="s">
        <v>2344</v>
      </c>
      <c r="O487" s="305" t="s">
        <v>2345</v>
      </c>
      <c r="Q487" s="292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0" t="s">
        <v>2344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0" t="s">
        <v>2344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0" t="s">
        <v>2344</v>
      </c>
      <c r="Z487" t="str">
        <f>IFERROR(VLOOKUP(ROWS($Z$3:Z487),$X$3:$Y$992,2,0),"")</f>
        <v>Výroba ostatních keramických výrobků</v>
      </c>
    </row>
    <row r="488" spans="13:26">
      <c r="M488" s="289">
        <f>IF(ISNUMBER(SEARCH(ZAKL_DATA!$B$29,N488)),MAX($M$2:M487)+1,0)</f>
        <v>486</v>
      </c>
      <c r="N488" s="290" t="s">
        <v>2346</v>
      </c>
      <c r="O488" s="305" t="s">
        <v>2347</v>
      </c>
      <c r="Q488" s="292" t="str">
        <f>IFERROR(VLOOKUP(ROWS($Q$3:Q488),$M$3:$N$992,2,0),"")</f>
        <v>Výroba cementu</v>
      </c>
      <c r="R488">
        <f>IF(ISNUMBER(SEARCH('1Př1'!$A$32,N488)),MAX($M$2:M487)+1,0)</f>
        <v>486</v>
      </c>
      <c r="S488" s="290" t="s">
        <v>2346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0" t="s">
        <v>2346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0" t="s">
        <v>2346</v>
      </c>
      <c r="Z488" t="str">
        <f>IFERROR(VLOOKUP(ROWS($Z$3:Z488),$X$3:$Y$992,2,0),"")</f>
        <v>Výroba cementu</v>
      </c>
    </row>
    <row r="489" spans="13:26">
      <c r="M489" s="289">
        <f>IF(ISNUMBER(SEARCH(ZAKL_DATA!$B$29,N489)),MAX($M$2:M488)+1,0)</f>
        <v>487</v>
      </c>
      <c r="N489" s="290" t="s">
        <v>2348</v>
      </c>
      <c r="O489" s="305" t="s">
        <v>2349</v>
      </c>
      <c r="Q489" s="292" t="str">
        <f>IFERROR(VLOOKUP(ROWS($Q$3:Q489),$M$3:$N$992,2,0),"")</f>
        <v>Výroba vápna a sádry</v>
      </c>
      <c r="R489">
        <f>IF(ISNUMBER(SEARCH('1Př1'!$A$32,N489)),MAX($M$2:M488)+1,0)</f>
        <v>487</v>
      </c>
      <c r="S489" s="290" t="s">
        <v>2348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0" t="s">
        <v>2348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0" t="s">
        <v>2348</v>
      </c>
      <c r="Z489" t="str">
        <f>IFERROR(VLOOKUP(ROWS($Z$3:Z489),$X$3:$Y$992,2,0),"")</f>
        <v>Výroba vápna a sádry</v>
      </c>
    </row>
    <row r="490" spans="13:26">
      <c r="M490" s="289">
        <f>IF(ISNUMBER(SEARCH(ZAKL_DATA!$B$29,N490)),MAX($M$2:M489)+1,0)</f>
        <v>488</v>
      </c>
      <c r="N490" s="290" t="s">
        <v>2350</v>
      </c>
      <c r="O490" s="305" t="s">
        <v>2351</v>
      </c>
      <c r="Q490" s="292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0" t="s">
        <v>2350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0" t="s">
        <v>2350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0" t="s">
        <v>2350</v>
      </c>
      <c r="Z490" t="str">
        <f>IFERROR(VLOOKUP(ROWS($Z$3:Z490),$X$3:$Y$992,2,0),"")</f>
        <v>Výroba betonových výrobků pro stavební účely</v>
      </c>
    </row>
    <row r="491" spans="13:26">
      <c r="M491" s="289">
        <f>IF(ISNUMBER(SEARCH(ZAKL_DATA!$B$29,N491)),MAX($M$2:M490)+1,0)</f>
        <v>489</v>
      </c>
      <c r="N491" s="290" t="s">
        <v>2352</v>
      </c>
      <c r="O491" s="305" t="s">
        <v>2353</v>
      </c>
      <c r="Q491" s="292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0" t="s">
        <v>2352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0" t="s">
        <v>2352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0" t="s">
        <v>2352</v>
      </c>
      <c r="Z491" t="str">
        <f>IFERROR(VLOOKUP(ROWS($Z$3:Z491),$X$3:$Y$992,2,0),"")</f>
        <v>Výroba sádrových výrobků pro stavební účely</v>
      </c>
    </row>
    <row r="492" spans="13:26">
      <c r="M492" s="289">
        <f>IF(ISNUMBER(SEARCH(ZAKL_DATA!$B$29,N492)),MAX($M$2:M491)+1,0)</f>
        <v>490</v>
      </c>
      <c r="N492" s="290" t="s">
        <v>2354</v>
      </c>
      <c r="O492" s="305" t="s">
        <v>2355</v>
      </c>
      <c r="Q492" s="292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0" t="s">
        <v>2354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0" t="s">
        <v>2354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0" t="s">
        <v>2354</v>
      </c>
      <c r="Z492" t="str">
        <f>IFERROR(VLOOKUP(ROWS($Z$3:Z492),$X$3:$Y$992,2,0),"")</f>
        <v>Výroba betonu připraveného k lití</v>
      </c>
    </row>
    <row r="493" spans="13:26">
      <c r="M493" s="289">
        <f>IF(ISNUMBER(SEARCH(ZAKL_DATA!$B$29,N493)),MAX($M$2:M492)+1,0)</f>
        <v>491</v>
      </c>
      <c r="N493" s="290" t="s">
        <v>2356</v>
      </c>
      <c r="O493" s="305" t="s">
        <v>2357</v>
      </c>
      <c r="Q493" s="292" t="str">
        <f>IFERROR(VLOOKUP(ROWS($Q$3:Q493),$M$3:$N$992,2,0),"")</f>
        <v>Výroba malt</v>
      </c>
      <c r="R493">
        <f>IF(ISNUMBER(SEARCH('1Př1'!$A$32,N493)),MAX($M$2:M492)+1,0)</f>
        <v>491</v>
      </c>
      <c r="S493" s="290" t="s">
        <v>2356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0" t="s">
        <v>2356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0" t="s">
        <v>2356</v>
      </c>
      <c r="Z493" t="str">
        <f>IFERROR(VLOOKUP(ROWS($Z$3:Z493),$X$3:$Y$992,2,0),"")</f>
        <v>Výroba malt</v>
      </c>
    </row>
    <row r="494" spans="13:26">
      <c r="M494" s="289">
        <f>IF(ISNUMBER(SEARCH(ZAKL_DATA!$B$29,N494)),MAX($M$2:M493)+1,0)</f>
        <v>492</v>
      </c>
      <c r="N494" s="290" t="s">
        <v>2358</v>
      </c>
      <c r="O494" s="305" t="s">
        <v>2359</v>
      </c>
      <c r="Q494" s="292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0" t="s">
        <v>2358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0" t="s">
        <v>2358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0" t="s">
        <v>2358</v>
      </c>
      <c r="Z494" t="str">
        <f>IFERROR(VLOOKUP(ROWS($Z$3:Z494),$X$3:$Y$992,2,0),"")</f>
        <v>Výroba vláknitých cementů</v>
      </c>
    </row>
    <row r="495" spans="13:26">
      <c r="M495" s="289">
        <f>IF(ISNUMBER(SEARCH(ZAKL_DATA!$B$29,N495)),MAX($M$2:M494)+1,0)</f>
        <v>493</v>
      </c>
      <c r="N495" s="290" t="s">
        <v>2360</v>
      </c>
      <c r="O495" s="305" t="s">
        <v>2361</v>
      </c>
      <c r="Q495" s="292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0" t="s">
        <v>2360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0" t="s">
        <v>2360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0" t="s">
        <v>2360</v>
      </c>
      <c r="Z495" t="str">
        <f>IFERROR(VLOOKUP(ROWS($Z$3:Z495),$X$3:$Y$992,2,0),"")</f>
        <v>Výroba ostatních betonových, cementových a sádrových výrobků</v>
      </c>
    </row>
    <row r="496" spans="13:26">
      <c r="M496" s="289">
        <f>IF(ISNUMBER(SEARCH(ZAKL_DATA!$B$29,N496)),MAX($M$2:M495)+1,0)</f>
        <v>494</v>
      </c>
      <c r="N496" s="290" t="s">
        <v>2362</v>
      </c>
      <c r="O496" s="305" t="s">
        <v>2363</v>
      </c>
      <c r="Q496" s="292" t="str">
        <f>IFERROR(VLOOKUP(ROWS($Q$3:Q496),$M$3:$N$992,2,0),"")</f>
        <v>Výroba brusiv</v>
      </c>
      <c r="R496">
        <f>IF(ISNUMBER(SEARCH('1Př1'!$A$32,N496)),MAX($M$2:M495)+1,0)</f>
        <v>494</v>
      </c>
      <c r="S496" s="290" t="s">
        <v>2362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0" t="s">
        <v>2362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0" t="s">
        <v>2362</v>
      </c>
      <c r="Z496" t="str">
        <f>IFERROR(VLOOKUP(ROWS($Z$3:Z496),$X$3:$Y$992,2,0),"")</f>
        <v>Výroba brusiv</v>
      </c>
    </row>
    <row r="497" spans="13:26">
      <c r="M497" s="289">
        <f>IF(ISNUMBER(SEARCH(ZAKL_DATA!$B$29,N497)),MAX($M$2:M496)+1,0)</f>
        <v>495</v>
      </c>
      <c r="N497" s="290" t="s">
        <v>2364</v>
      </c>
      <c r="O497" s="305" t="s">
        <v>2365</v>
      </c>
      <c r="Q497" s="292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0" t="s">
        <v>2364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0" t="s">
        <v>2364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0" t="s">
        <v>2364</v>
      </c>
      <c r="Z497" t="str">
        <f>IFERROR(VLOOKUP(ROWS($Z$3:Z497),$X$3:$Y$992,2,0),"")</f>
        <v>Výroba ostatních nekovových minerálních výrobků j.n.</v>
      </c>
    </row>
    <row r="498" spans="13:26">
      <c r="M498" s="289">
        <f>IF(ISNUMBER(SEARCH(ZAKL_DATA!$B$29,N498)),MAX($M$2:M497)+1,0)</f>
        <v>496</v>
      </c>
      <c r="N498" s="290" t="s">
        <v>2366</v>
      </c>
      <c r="O498" s="305" t="s">
        <v>2367</v>
      </c>
      <c r="Q498" s="292" t="str">
        <f>IFERROR(VLOOKUP(ROWS($Q$3:Q498),$M$3:$N$992,2,0),"")</f>
        <v>Tažení tyčí za studena</v>
      </c>
      <c r="R498">
        <f>IF(ISNUMBER(SEARCH('1Př1'!$A$32,N498)),MAX($M$2:M497)+1,0)</f>
        <v>496</v>
      </c>
      <c r="S498" s="290" t="s">
        <v>2366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0" t="s">
        <v>2366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0" t="s">
        <v>2366</v>
      </c>
      <c r="Z498" t="str">
        <f>IFERROR(VLOOKUP(ROWS($Z$3:Z498),$X$3:$Y$992,2,0),"")</f>
        <v>Tažení tyčí za studena</v>
      </c>
    </row>
    <row r="499" spans="13:26">
      <c r="M499" s="289">
        <f>IF(ISNUMBER(SEARCH(ZAKL_DATA!$B$29,N499)),MAX($M$2:M498)+1,0)</f>
        <v>497</v>
      </c>
      <c r="N499" s="290" t="s">
        <v>2368</v>
      </c>
      <c r="O499" s="305" t="s">
        <v>2369</v>
      </c>
      <c r="Q499" s="292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0" t="s">
        <v>2368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0" t="s">
        <v>2368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0" t="s">
        <v>2368</v>
      </c>
      <c r="Z499" t="str">
        <f>IFERROR(VLOOKUP(ROWS($Z$3:Z499),$X$3:$Y$992,2,0),"")</f>
        <v>Válcování ocelových úzkých pásů za studena</v>
      </c>
    </row>
    <row r="500" spans="13:26">
      <c r="M500" s="289">
        <f>IF(ISNUMBER(SEARCH(ZAKL_DATA!$B$29,N500)),MAX($M$2:M499)+1,0)</f>
        <v>498</v>
      </c>
      <c r="N500" s="290" t="s">
        <v>2370</v>
      </c>
      <c r="O500" s="305" t="s">
        <v>2371</v>
      </c>
      <c r="Q500" s="292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0" t="s">
        <v>2370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0" t="s">
        <v>2370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0" t="s">
        <v>2370</v>
      </c>
      <c r="Z500" t="str">
        <f>IFERROR(VLOOKUP(ROWS($Z$3:Z500),$X$3:$Y$992,2,0),"")</f>
        <v>Tváření ocelových profilů za studena</v>
      </c>
    </row>
    <row r="501" spans="13:26">
      <c r="M501" s="289">
        <f>IF(ISNUMBER(SEARCH(ZAKL_DATA!$B$29,N501)),MAX($M$2:M500)+1,0)</f>
        <v>499</v>
      </c>
      <c r="N501" s="290" t="s">
        <v>2372</v>
      </c>
      <c r="O501" s="305" t="s">
        <v>2373</v>
      </c>
      <c r="Q501" s="292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0" t="s">
        <v>2372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0" t="s">
        <v>2372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0" t="s">
        <v>2372</v>
      </c>
      <c r="Z501" t="str">
        <f>IFERROR(VLOOKUP(ROWS($Z$3:Z501),$X$3:$Y$992,2,0),"")</f>
        <v>Tažení ocelového drátu za studena</v>
      </c>
    </row>
    <row r="502" spans="13:26">
      <c r="M502" s="289">
        <f>IF(ISNUMBER(SEARCH(ZAKL_DATA!$B$29,N502)),MAX($M$2:M501)+1,0)</f>
        <v>500</v>
      </c>
      <c r="N502" s="290" t="s">
        <v>2374</v>
      </c>
      <c r="O502" s="305" t="s">
        <v>2375</v>
      </c>
      <c r="Q502" s="292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0" t="s">
        <v>2374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0" t="s">
        <v>2374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0" t="s">
        <v>2374</v>
      </c>
      <c r="Z502" t="str">
        <f>IFERROR(VLOOKUP(ROWS($Z$3:Z502),$X$3:$Y$992,2,0),"")</f>
        <v>Výroba a hutní zpracování drahých kovů</v>
      </c>
    </row>
    <row r="503" spans="13:26">
      <c r="M503" s="289">
        <f>IF(ISNUMBER(SEARCH(ZAKL_DATA!$B$29,N503)),MAX($M$2:M502)+1,0)</f>
        <v>501</v>
      </c>
      <c r="N503" s="290" t="s">
        <v>2376</v>
      </c>
      <c r="O503" s="305" t="s">
        <v>2377</v>
      </c>
      <c r="Q503" s="292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0" t="s">
        <v>2376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0" t="s">
        <v>2376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0" t="s">
        <v>2376</v>
      </c>
      <c r="Z503" t="str">
        <f>IFERROR(VLOOKUP(ROWS($Z$3:Z503),$X$3:$Y$992,2,0),"")</f>
        <v>Výroba a hutní zpracování hliníku</v>
      </c>
    </row>
    <row r="504" spans="13:26">
      <c r="M504" s="289">
        <f>IF(ISNUMBER(SEARCH(ZAKL_DATA!$B$29,N504)),MAX($M$2:M503)+1,0)</f>
        <v>502</v>
      </c>
      <c r="N504" s="290" t="s">
        <v>2378</v>
      </c>
      <c r="O504" s="305" t="s">
        <v>2379</v>
      </c>
      <c r="Q504" s="292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0" t="s">
        <v>2378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0" t="s">
        <v>2378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0" t="s">
        <v>2378</v>
      </c>
      <c r="Z504" t="str">
        <f>IFERROR(VLOOKUP(ROWS($Z$3:Z504),$X$3:$Y$992,2,0),"")</f>
        <v>Výroba a hutní zpracování olova, zinku a cínu</v>
      </c>
    </row>
    <row r="505" spans="13:26">
      <c r="M505" s="289">
        <f>IF(ISNUMBER(SEARCH(ZAKL_DATA!$B$29,N505)),MAX($M$2:M504)+1,0)</f>
        <v>503</v>
      </c>
      <c r="N505" s="290" t="s">
        <v>2380</v>
      </c>
      <c r="O505" s="305" t="s">
        <v>2381</v>
      </c>
      <c r="Q505" s="292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0" t="s">
        <v>2380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0" t="s">
        <v>2380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0" t="s">
        <v>2380</v>
      </c>
      <c r="Z505" t="str">
        <f>IFERROR(VLOOKUP(ROWS($Z$3:Z505),$X$3:$Y$992,2,0),"")</f>
        <v>Výroba a hutní zpracování mědi</v>
      </c>
    </row>
    <row r="506" spans="13:26">
      <c r="M506" s="289">
        <f>IF(ISNUMBER(SEARCH(ZAKL_DATA!$B$29,N506)),MAX($M$2:M505)+1,0)</f>
        <v>504</v>
      </c>
      <c r="N506" s="290" t="s">
        <v>2382</v>
      </c>
      <c r="O506" s="305" t="s">
        <v>2383</v>
      </c>
      <c r="Q506" s="292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0" t="s">
        <v>2382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0" t="s">
        <v>2382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0" t="s">
        <v>2382</v>
      </c>
      <c r="Z506" t="str">
        <f>IFERROR(VLOOKUP(ROWS($Z$3:Z506),$X$3:$Y$992,2,0),"")</f>
        <v>Výroba a hutní zpracování ostatních neželezných kovů</v>
      </c>
    </row>
    <row r="507" spans="13:26">
      <c r="M507" s="289">
        <f>IF(ISNUMBER(SEARCH(ZAKL_DATA!$B$29,N507)),MAX($M$2:M506)+1,0)</f>
        <v>505</v>
      </c>
      <c r="N507" s="290" t="s">
        <v>2384</v>
      </c>
      <c r="O507" s="305" t="s">
        <v>2385</v>
      </c>
      <c r="Q507" s="292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0" t="s">
        <v>2384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0" t="s">
        <v>2384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0" t="s">
        <v>2384</v>
      </c>
      <c r="Z507" t="str">
        <f>IFERROR(VLOOKUP(ROWS($Z$3:Z507),$X$3:$Y$992,2,0),"")</f>
        <v>Zpracování jaderného paliva</v>
      </c>
    </row>
    <row r="508" spans="13:26">
      <c r="M508" s="289">
        <f>IF(ISNUMBER(SEARCH(ZAKL_DATA!$B$29,N508)),MAX($M$2:M507)+1,0)</f>
        <v>506</v>
      </c>
      <c r="N508" s="290" t="s">
        <v>2386</v>
      </c>
      <c r="O508" s="305" t="s">
        <v>2387</v>
      </c>
      <c r="Q508" s="292" t="str">
        <f>IFERROR(VLOOKUP(ROWS($Q$3:Q508),$M$3:$N$992,2,0),"")</f>
        <v>Výroba odlitků z litiny</v>
      </c>
      <c r="R508">
        <f>IF(ISNUMBER(SEARCH('1Př1'!$A$32,N508)),MAX($M$2:M507)+1,0)</f>
        <v>506</v>
      </c>
      <c r="S508" s="290" t="s">
        <v>2386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0" t="s">
        <v>2386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0" t="s">
        <v>2386</v>
      </c>
      <c r="Z508" t="str">
        <f>IFERROR(VLOOKUP(ROWS($Z$3:Z508),$X$3:$Y$992,2,0),"")</f>
        <v>Výroba odlitků z litiny</v>
      </c>
    </row>
    <row r="509" spans="13:26">
      <c r="M509" s="289">
        <f>IF(ISNUMBER(SEARCH(ZAKL_DATA!$B$29,N509)),MAX($M$2:M508)+1,0)</f>
        <v>507</v>
      </c>
      <c r="N509" s="290" t="s">
        <v>2388</v>
      </c>
      <c r="O509" s="305" t="s">
        <v>2389</v>
      </c>
      <c r="Q509" s="292" t="str">
        <f>IFERROR(VLOOKUP(ROWS($Q$3:Q509),$M$3:$N$992,2,0),"")</f>
        <v>Výroba odlitků z oceli</v>
      </c>
      <c r="R509">
        <f>IF(ISNUMBER(SEARCH('1Př1'!$A$32,N509)),MAX($M$2:M508)+1,0)</f>
        <v>507</v>
      </c>
      <c r="S509" s="290" t="s">
        <v>2388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0" t="s">
        <v>2388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0" t="s">
        <v>2388</v>
      </c>
      <c r="Z509" t="str">
        <f>IFERROR(VLOOKUP(ROWS($Z$3:Z509),$X$3:$Y$992,2,0),"")</f>
        <v>Výroba odlitků z oceli</v>
      </c>
    </row>
    <row r="510" spans="13:26">
      <c r="M510" s="289">
        <f>IF(ISNUMBER(SEARCH(ZAKL_DATA!$B$29,N510)),MAX($M$2:M509)+1,0)</f>
        <v>508</v>
      </c>
      <c r="N510" s="290" t="s">
        <v>2390</v>
      </c>
      <c r="O510" s="305" t="s">
        <v>2391</v>
      </c>
      <c r="Q510" s="292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0" t="s">
        <v>2390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0" t="s">
        <v>2390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0" t="s">
        <v>2390</v>
      </c>
      <c r="Z510" t="str">
        <f>IFERROR(VLOOKUP(ROWS($Z$3:Z510),$X$3:$Y$992,2,0),"")</f>
        <v>Výroba odlitků z lehkých neželezných kovů</v>
      </c>
    </row>
    <row r="511" spans="13:26">
      <c r="M511" s="289">
        <f>IF(ISNUMBER(SEARCH(ZAKL_DATA!$B$29,N511)),MAX($M$2:M510)+1,0)</f>
        <v>509</v>
      </c>
      <c r="N511" s="290" t="s">
        <v>2392</v>
      </c>
      <c r="O511" s="305" t="s">
        <v>2393</v>
      </c>
      <c r="Q511" s="292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0" t="s">
        <v>2392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0" t="s">
        <v>2392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0" t="s">
        <v>2392</v>
      </c>
      <c r="Z511" t="str">
        <f>IFERROR(VLOOKUP(ROWS($Z$3:Z511),$X$3:$Y$992,2,0),"")</f>
        <v>Výroba odlitků z ostatních neželezných kovů</v>
      </c>
    </row>
    <row r="512" spans="13:26">
      <c r="M512" s="289">
        <f>IF(ISNUMBER(SEARCH(ZAKL_DATA!$B$29,N512)),MAX($M$2:M511)+1,0)</f>
        <v>510</v>
      </c>
      <c r="N512" s="290" t="s">
        <v>2394</v>
      </c>
      <c r="O512" s="305" t="s">
        <v>2395</v>
      </c>
      <c r="Q512" s="292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0" t="s">
        <v>2394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0" t="s">
        <v>2394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0" t="s">
        <v>2394</v>
      </c>
      <c r="Z512" t="str">
        <f>IFERROR(VLOOKUP(ROWS($Z$3:Z512),$X$3:$Y$992,2,0),"")</f>
        <v>Výroba kovových konstrukcí a jejich dílů</v>
      </c>
    </row>
    <row r="513" spans="13:26">
      <c r="M513" s="289">
        <f>IF(ISNUMBER(SEARCH(ZAKL_DATA!$B$29,N513)),MAX($M$2:M512)+1,0)</f>
        <v>511</v>
      </c>
      <c r="N513" s="290" t="s">
        <v>2396</v>
      </c>
      <c r="O513" s="305" t="s">
        <v>2397</v>
      </c>
      <c r="Q513" s="292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0" t="s">
        <v>2396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0" t="s">
        <v>2396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0" t="s">
        <v>2396</v>
      </c>
      <c r="Z513" t="str">
        <f>IFERROR(VLOOKUP(ROWS($Z$3:Z513),$X$3:$Y$992,2,0),"")</f>
        <v>Výroba kovových dveří a oken</v>
      </c>
    </row>
    <row r="514" spans="13:26">
      <c r="M514" s="289">
        <f>IF(ISNUMBER(SEARCH(ZAKL_DATA!$B$29,N514)),MAX($M$2:M513)+1,0)</f>
        <v>512</v>
      </c>
      <c r="N514" s="290" t="s">
        <v>2398</v>
      </c>
      <c r="O514" s="305" t="s">
        <v>2399</v>
      </c>
      <c r="Q514" s="292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0" t="s">
        <v>2398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0" t="s">
        <v>2398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0" t="s">
        <v>2398</v>
      </c>
      <c r="Z514" t="str">
        <f>IFERROR(VLOOKUP(ROWS($Z$3:Z514),$X$3:$Y$992,2,0),"")</f>
        <v>Výroba radiátorů a kotlů k ústřednímu topení</v>
      </c>
    </row>
    <row r="515" spans="13:26">
      <c r="M515" s="289">
        <f>IF(ISNUMBER(SEARCH(ZAKL_DATA!$B$29,N515)),MAX($M$2:M514)+1,0)</f>
        <v>513</v>
      </c>
      <c r="N515" s="290" t="s">
        <v>2400</v>
      </c>
      <c r="O515" s="305" t="s">
        <v>2401</v>
      </c>
      <c r="Q515" s="292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0" t="s">
        <v>2400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0" t="s">
        <v>2400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0" t="s">
        <v>2400</v>
      </c>
      <c r="Z515" t="str">
        <f>IFERROR(VLOOKUP(ROWS($Z$3:Z515),$X$3:$Y$992,2,0),"")</f>
        <v>Výroba kovových nádrží a zásobníků</v>
      </c>
    </row>
    <row r="516" spans="13:26">
      <c r="M516" s="289">
        <f>IF(ISNUMBER(SEARCH(ZAKL_DATA!$B$29,N516)),MAX($M$2:M515)+1,0)</f>
        <v>514</v>
      </c>
      <c r="N516" s="290" t="s">
        <v>2402</v>
      </c>
      <c r="O516" s="305" t="s">
        <v>2403</v>
      </c>
      <c r="Q516" s="292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0" t="s">
        <v>2402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0" t="s">
        <v>2402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0" t="s">
        <v>2402</v>
      </c>
      <c r="Z516" t="str">
        <f>IFERROR(VLOOKUP(ROWS($Z$3:Z516),$X$3:$Y$992,2,0),"")</f>
        <v>Povrchová úprava a zušlechťování kovů</v>
      </c>
    </row>
    <row r="517" spans="13:26">
      <c r="M517" s="289">
        <f>IF(ISNUMBER(SEARCH(ZAKL_DATA!$B$29,N517)),MAX($M$2:M516)+1,0)</f>
        <v>515</v>
      </c>
      <c r="N517" s="290" t="s">
        <v>2404</v>
      </c>
      <c r="O517" s="305" t="s">
        <v>2405</v>
      </c>
      <c r="Q517" s="292" t="str">
        <f>IFERROR(VLOOKUP(ROWS($Q$3:Q517),$M$3:$N$992,2,0),"")</f>
        <v>Obrábění</v>
      </c>
      <c r="R517">
        <f>IF(ISNUMBER(SEARCH('1Př1'!$A$32,N517)),MAX($M$2:M516)+1,0)</f>
        <v>515</v>
      </c>
      <c r="S517" s="290" t="s">
        <v>2404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0" t="s">
        <v>2404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0" t="s">
        <v>2404</v>
      </c>
      <c r="Z517" t="str">
        <f>IFERROR(VLOOKUP(ROWS($Z$3:Z517),$X$3:$Y$992,2,0),"")</f>
        <v>Obrábění</v>
      </c>
    </row>
    <row r="518" spans="13:26">
      <c r="M518" s="289">
        <f>IF(ISNUMBER(SEARCH(ZAKL_DATA!$B$29,N518)),MAX($M$2:M517)+1,0)</f>
        <v>516</v>
      </c>
      <c r="N518" s="290" t="s">
        <v>2406</v>
      </c>
      <c r="O518" s="305" t="s">
        <v>2407</v>
      </c>
      <c r="Q518" s="292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0" t="s">
        <v>2406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0" t="s">
        <v>2406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0" t="s">
        <v>2406</v>
      </c>
      <c r="Z518" t="str">
        <f>IFERROR(VLOOKUP(ROWS($Z$3:Z518),$X$3:$Y$992,2,0),"")</f>
        <v>Výroba nožířských výrobků</v>
      </c>
    </row>
    <row r="519" spans="13:26">
      <c r="M519" s="289">
        <f>IF(ISNUMBER(SEARCH(ZAKL_DATA!$B$29,N519)),MAX($M$2:M518)+1,0)</f>
        <v>517</v>
      </c>
      <c r="N519" s="290" t="s">
        <v>2408</v>
      </c>
      <c r="O519" s="305" t="s">
        <v>2409</v>
      </c>
      <c r="Q519" s="292" t="str">
        <f>IFERROR(VLOOKUP(ROWS($Q$3:Q519),$M$3:$N$992,2,0),"")</f>
        <v>Výroba zámků a kování</v>
      </c>
      <c r="R519">
        <f>IF(ISNUMBER(SEARCH('1Př1'!$A$32,N519)),MAX($M$2:M518)+1,0)</f>
        <v>517</v>
      </c>
      <c r="S519" s="290" t="s">
        <v>2408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0" t="s">
        <v>2408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0" t="s">
        <v>2408</v>
      </c>
      <c r="Z519" t="str">
        <f>IFERROR(VLOOKUP(ROWS($Z$3:Z519),$X$3:$Y$992,2,0),"")</f>
        <v>Výroba zámků a kování</v>
      </c>
    </row>
    <row r="520" spans="13:26">
      <c r="M520" s="289">
        <f>IF(ISNUMBER(SEARCH(ZAKL_DATA!$B$29,N520)),MAX($M$2:M519)+1,0)</f>
        <v>518</v>
      </c>
      <c r="N520" s="290" t="s">
        <v>2410</v>
      </c>
      <c r="O520" s="305" t="s">
        <v>2411</v>
      </c>
      <c r="Q520" s="292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0" t="s">
        <v>2410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0" t="s">
        <v>2410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0" t="s">
        <v>2410</v>
      </c>
      <c r="Z520" t="str">
        <f>IFERROR(VLOOKUP(ROWS($Z$3:Z520),$X$3:$Y$992,2,0),"")</f>
        <v>Výroba nástrojů a nářadí</v>
      </c>
    </row>
    <row r="521" spans="13:26">
      <c r="M521" s="289">
        <f>IF(ISNUMBER(SEARCH(ZAKL_DATA!$B$29,N521)),MAX($M$2:M520)+1,0)</f>
        <v>519</v>
      </c>
      <c r="N521" s="290" t="s">
        <v>2412</v>
      </c>
      <c r="O521" s="305" t="s">
        <v>2413</v>
      </c>
      <c r="Q521" s="292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0" t="s">
        <v>2412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0" t="s">
        <v>2412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0" t="s">
        <v>2412</v>
      </c>
      <c r="Z521" t="str">
        <f>IFERROR(VLOOKUP(ROWS($Z$3:Z521),$X$3:$Y$992,2,0),"")</f>
        <v>Výroba ocelových sudů a podobných nádob</v>
      </c>
    </row>
    <row r="522" spans="13:26">
      <c r="M522" s="289">
        <f>IF(ISNUMBER(SEARCH(ZAKL_DATA!$B$29,N522)),MAX($M$2:M521)+1,0)</f>
        <v>520</v>
      </c>
      <c r="N522" s="290" t="s">
        <v>2414</v>
      </c>
      <c r="O522" s="305" t="s">
        <v>2415</v>
      </c>
      <c r="Q522" s="292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0" t="s">
        <v>2414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0" t="s">
        <v>2414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0" t="s">
        <v>2414</v>
      </c>
      <c r="Z522" t="str">
        <f>IFERROR(VLOOKUP(ROWS($Z$3:Z522),$X$3:$Y$992,2,0),"")</f>
        <v>Výroba drobných kovových obalů</v>
      </c>
    </row>
    <row r="523" spans="13:26">
      <c r="M523" s="289">
        <f>IF(ISNUMBER(SEARCH(ZAKL_DATA!$B$29,N523)),MAX($M$2:M522)+1,0)</f>
        <v>521</v>
      </c>
      <c r="N523" s="290" t="s">
        <v>2416</v>
      </c>
      <c r="O523" s="305" t="s">
        <v>2417</v>
      </c>
      <c r="Q523" s="292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0" t="s">
        <v>2416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0" t="s">
        <v>2416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0" t="s">
        <v>2416</v>
      </c>
      <c r="Z523" t="str">
        <f>IFERROR(VLOOKUP(ROWS($Z$3:Z523),$X$3:$Y$992,2,0),"")</f>
        <v>Výroba drátěných výrobků, řetězů a pružin</v>
      </c>
    </row>
    <row r="524" spans="13:26">
      <c r="M524" s="289">
        <f>IF(ISNUMBER(SEARCH(ZAKL_DATA!$B$29,N524)),MAX($M$2:M523)+1,0)</f>
        <v>522</v>
      </c>
      <c r="N524" s="290" t="s">
        <v>2418</v>
      </c>
      <c r="O524" s="305" t="s">
        <v>2419</v>
      </c>
      <c r="Q524" s="292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0" t="s">
        <v>2418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0" t="s">
        <v>2418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0" t="s">
        <v>2418</v>
      </c>
      <c r="Z524" t="str">
        <f>IFERROR(VLOOKUP(ROWS($Z$3:Z524),$X$3:$Y$992,2,0),"")</f>
        <v>Výroba spojovacích materiálů a spojovacích výrobků se závity</v>
      </c>
    </row>
    <row r="525" spans="13:26">
      <c r="M525" s="289">
        <f>IF(ISNUMBER(SEARCH(ZAKL_DATA!$B$29,N525)),MAX($M$2:M524)+1,0)</f>
        <v>523</v>
      </c>
      <c r="N525" s="290" t="s">
        <v>2420</v>
      </c>
      <c r="O525" s="305" t="s">
        <v>2421</v>
      </c>
      <c r="Q525" s="292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0" t="s">
        <v>2420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0" t="s">
        <v>2420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0" t="s">
        <v>2420</v>
      </c>
      <c r="Z525" t="str">
        <f>IFERROR(VLOOKUP(ROWS($Z$3:Z525),$X$3:$Y$992,2,0),"")</f>
        <v>Výroba ostatních kovodělných výrobků j. n.</v>
      </c>
    </row>
    <row r="526" spans="13:26">
      <c r="M526" s="289">
        <f>IF(ISNUMBER(SEARCH(ZAKL_DATA!$B$29,N526)),MAX($M$2:M525)+1,0)</f>
        <v>524</v>
      </c>
      <c r="N526" s="290" t="s">
        <v>2422</v>
      </c>
      <c r="O526" s="305" t="s">
        <v>2423</v>
      </c>
      <c r="Q526" s="292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0" t="s">
        <v>2422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0" t="s">
        <v>2422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0" t="s">
        <v>2422</v>
      </c>
      <c r="Z526" t="str">
        <f>IFERROR(VLOOKUP(ROWS($Z$3:Z526),$X$3:$Y$992,2,0),"")</f>
        <v>Výroba elektronických součástek</v>
      </c>
    </row>
    <row r="527" spans="13:26">
      <c r="M527" s="289">
        <f>IF(ISNUMBER(SEARCH(ZAKL_DATA!$B$29,N527)),MAX($M$2:M526)+1,0)</f>
        <v>525</v>
      </c>
      <c r="N527" s="290" t="s">
        <v>2424</v>
      </c>
      <c r="O527" s="305" t="s">
        <v>2425</v>
      </c>
      <c r="Q527" s="292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0" t="s">
        <v>2424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0" t="s">
        <v>2424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0" t="s">
        <v>2424</v>
      </c>
      <c r="Z527" t="str">
        <f>IFERROR(VLOOKUP(ROWS($Z$3:Z527),$X$3:$Y$992,2,0),"")</f>
        <v>Výroba osazených elektronických desek</v>
      </c>
    </row>
    <row r="528" spans="13:26">
      <c r="M528" s="289">
        <f>IF(ISNUMBER(SEARCH(ZAKL_DATA!$B$29,N528)),MAX($M$2:M527)+1,0)</f>
        <v>526</v>
      </c>
      <c r="N528" s="290" t="s">
        <v>2426</v>
      </c>
      <c r="O528" s="305" t="s">
        <v>2427</v>
      </c>
      <c r="Q528" s="292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0" t="s">
        <v>2426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0" t="s">
        <v>2426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0" t="s">
        <v>2426</v>
      </c>
      <c r="Z528" t="str">
        <f>IFERROR(VLOOKUP(ROWS($Z$3:Z528),$X$3:$Y$992,2,0),"")</f>
        <v>Výroba měřicích, zkušebních a navigačních přístrojů</v>
      </c>
    </row>
    <row r="529" spans="13:26">
      <c r="M529" s="289">
        <f>IF(ISNUMBER(SEARCH(ZAKL_DATA!$B$29,N529)),MAX($M$2:M528)+1,0)</f>
        <v>527</v>
      </c>
      <c r="N529" s="290" t="s">
        <v>2428</v>
      </c>
      <c r="O529" s="305" t="s">
        <v>2429</v>
      </c>
      <c r="Q529" s="292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0" t="s">
        <v>2428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0" t="s">
        <v>2428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0" t="s">
        <v>2428</v>
      </c>
      <c r="Z529" t="str">
        <f>IFERROR(VLOOKUP(ROWS($Z$3:Z529),$X$3:$Y$992,2,0),"")</f>
        <v>Výroba časoměrných přístrojů</v>
      </c>
    </row>
    <row r="530" spans="13:26">
      <c r="M530" s="289">
        <f>IF(ISNUMBER(SEARCH(ZAKL_DATA!$B$29,N530)),MAX($M$2:M529)+1,0)</f>
        <v>528</v>
      </c>
      <c r="N530" s="290" t="s">
        <v>2430</v>
      </c>
      <c r="O530" s="305" t="s">
        <v>2431</v>
      </c>
      <c r="Q530" s="292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0" t="s">
        <v>2430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0" t="s">
        <v>2430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0" t="s">
        <v>2430</v>
      </c>
      <c r="Z530" t="str">
        <f>IFERROR(VLOOKUP(ROWS($Z$3:Z530),$X$3:$Y$992,2,0),"")</f>
        <v>Výroba elektrických motorů, generátorů a transformátorů</v>
      </c>
    </row>
    <row r="531" spans="13:26">
      <c r="M531" s="289">
        <f>IF(ISNUMBER(SEARCH(ZAKL_DATA!$B$29,N531)),MAX($M$2:M530)+1,0)</f>
        <v>529</v>
      </c>
      <c r="N531" s="290" t="s">
        <v>2432</v>
      </c>
      <c r="O531" s="305" t="s">
        <v>2433</v>
      </c>
      <c r="Q531" s="292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0" t="s">
        <v>2432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0" t="s">
        <v>2432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0" t="s">
        <v>2432</v>
      </c>
      <c r="Z531" t="str">
        <f>IFERROR(VLOOKUP(ROWS($Z$3:Z531),$X$3:$Y$992,2,0),"")</f>
        <v>Výroba elektrických rozvodných a kontrolních zařízení</v>
      </c>
    </row>
    <row r="532" spans="13:26">
      <c r="M532" s="289">
        <f>IF(ISNUMBER(SEARCH(ZAKL_DATA!$B$29,N532)),MAX($M$2:M531)+1,0)</f>
        <v>530</v>
      </c>
      <c r="N532" s="290" t="s">
        <v>2434</v>
      </c>
      <c r="O532" s="305" t="s">
        <v>2435</v>
      </c>
      <c r="Q532" s="292" t="str">
        <f>IFERROR(VLOOKUP(ROWS($Q$3:Q532),$M$3:$N$992,2,0),"")</f>
        <v>Výroba optických kabelů</v>
      </c>
      <c r="R532">
        <f>IF(ISNUMBER(SEARCH('1Př1'!$A$32,N532)),MAX($M$2:M531)+1,0)</f>
        <v>530</v>
      </c>
      <c r="S532" s="290" t="s">
        <v>2434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0" t="s">
        <v>2434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0" t="s">
        <v>2434</v>
      </c>
      <c r="Z532" t="str">
        <f>IFERROR(VLOOKUP(ROWS($Z$3:Z532),$X$3:$Y$992,2,0),"")</f>
        <v>Výroba optických kabelů</v>
      </c>
    </row>
    <row r="533" spans="13:26">
      <c r="M533" s="289">
        <f>IF(ISNUMBER(SEARCH(ZAKL_DATA!$B$29,N533)),MAX($M$2:M532)+1,0)</f>
        <v>531</v>
      </c>
      <c r="N533" s="290" t="s">
        <v>2436</v>
      </c>
      <c r="O533" s="305" t="s">
        <v>2437</v>
      </c>
      <c r="Q533" s="292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0" t="s">
        <v>2436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0" t="s">
        <v>2436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0" t="s">
        <v>2436</v>
      </c>
      <c r="Z533" t="str">
        <f>IFERROR(VLOOKUP(ROWS($Z$3:Z533),$X$3:$Y$992,2,0),"")</f>
        <v>Výroba elektrických vodičů a kabelů j. n.</v>
      </c>
    </row>
    <row r="534" spans="13:26">
      <c r="M534" s="289">
        <f>IF(ISNUMBER(SEARCH(ZAKL_DATA!$B$29,N534)),MAX($M$2:M533)+1,0)</f>
        <v>532</v>
      </c>
      <c r="N534" s="290" t="s">
        <v>2438</v>
      </c>
      <c r="O534" s="305" t="s">
        <v>2439</v>
      </c>
      <c r="Q534" s="292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0" t="s">
        <v>2438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0" t="s">
        <v>2438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0" t="s">
        <v>2438</v>
      </c>
      <c r="Z534" t="str">
        <f>IFERROR(VLOOKUP(ROWS($Z$3:Z534),$X$3:$Y$992,2,0),"")</f>
        <v>Výroba elektroinstalačních zařízení</v>
      </c>
    </row>
    <row r="535" spans="13:26">
      <c r="M535" s="289">
        <f>IF(ISNUMBER(SEARCH(ZAKL_DATA!$B$29,N535)),MAX($M$2:M534)+1,0)</f>
        <v>533</v>
      </c>
      <c r="N535" s="290" t="s">
        <v>2440</v>
      </c>
      <c r="O535" s="305" t="s">
        <v>2441</v>
      </c>
      <c r="Q535" s="292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0" t="s">
        <v>2440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0" t="s">
        <v>2440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0" t="s">
        <v>2440</v>
      </c>
      <c r="Z535" t="str">
        <f>IFERROR(VLOOKUP(ROWS($Z$3:Z535),$X$3:$Y$992,2,0),"")</f>
        <v>Výroba elektrických spotřebičů převážně pro domácnost</v>
      </c>
    </row>
    <row r="536" spans="13:26">
      <c r="M536" s="289">
        <f>IF(ISNUMBER(SEARCH(ZAKL_DATA!$B$29,N536)),MAX($M$2:M535)+1,0)</f>
        <v>534</v>
      </c>
      <c r="N536" s="290" t="s">
        <v>2442</v>
      </c>
      <c r="O536" s="305" t="s">
        <v>2443</v>
      </c>
      <c r="Q536" s="292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0" t="s">
        <v>2442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0" t="s">
        <v>2442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0" t="s">
        <v>2442</v>
      </c>
      <c r="Z536" t="str">
        <f>IFERROR(VLOOKUP(ROWS($Z$3:Z536),$X$3:$Y$992,2,0),"")</f>
        <v>Výroba neelektrických spotřebičů převážně pro domácnost</v>
      </c>
    </row>
    <row r="537" spans="13:26">
      <c r="M537" s="289">
        <f>IF(ISNUMBER(SEARCH(ZAKL_DATA!$B$29,N537)),MAX($M$2:M536)+1,0)</f>
        <v>535</v>
      </c>
      <c r="N537" s="290" t="s">
        <v>2444</v>
      </c>
      <c r="O537" s="305" t="s">
        <v>2445</v>
      </c>
      <c r="Q537" s="292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0" t="s">
        <v>2444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0" t="s">
        <v>2444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0" t="s">
        <v>2444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89">
        <f>IF(ISNUMBER(SEARCH(ZAKL_DATA!$B$29,N538)),MAX($M$2:M537)+1,0)</f>
        <v>536</v>
      </c>
      <c r="N538" s="290" t="s">
        <v>2446</v>
      </c>
      <c r="O538" s="305" t="s">
        <v>2447</v>
      </c>
      <c r="Q538" s="292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0" t="s">
        <v>2446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0" t="s">
        <v>2446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0" t="s">
        <v>2446</v>
      </c>
      <c r="Z538" t="str">
        <f>IFERROR(VLOOKUP(ROWS($Z$3:Z538),$X$3:$Y$992,2,0),"")</f>
        <v>Výroba hydraulických a pneumatických zařízení</v>
      </c>
    </row>
    <row r="539" spans="13:26">
      <c r="M539" s="289">
        <f>IF(ISNUMBER(SEARCH(ZAKL_DATA!$B$29,N539)),MAX($M$2:M538)+1,0)</f>
        <v>537</v>
      </c>
      <c r="N539" s="290" t="s">
        <v>2448</v>
      </c>
      <c r="O539" s="305" t="s">
        <v>2449</v>
      </c>
      <c r="Q539" s="292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0" t="s">
        <v>2448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0" t="s">
        <v>2448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0" t="s">
        <v>2448</v>
      </c>
      <c r="Z539" t="str">
        <f>IFERROR(VLOOKUP(ROWS($Z$3:Z539),$X$3:$Y$992,2,0),"")</f>
        <v>Výroba ostatních čerpadel a kompresorů</v>
      </c>
    </row>
    <row r="540" spans="13:26">
      <c r="M540" s="289">
        <f>IF(ISNUMBER(SEARCH(ZAKL_DATA!$B$29,N540)),MAX($M$2:M539)+1,0)</f>
        <v>538</v>
      </c>
      <c r="N540" s="290" t="s">
        <v>2450</v>
      </c>
      <c r="O540" s="305" t="s">
        <v>2451</v>
      </c>
      <c r="Q540" s="292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0" t="s">
        <v>2450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0" t="s">
        <v>2450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0" t="s">
        <v>2450</v>
      </c>
      <c r="Z540" t="str">
        <f>IFERROR(VLOOKUP(ROWS($Z$3:Z540),$X$3:$Y$992,2,0),"")</f>
        <v>Výroba ostatních potrubních armatur</v>
      </c>
    </row>
    <row r="541" spans="13:26">
      <c r="M541" s="289">
        <f>IF(ISNUMBER(SEARCH(ZAKL_DATA!$B$29,N541)),MAX($M$2:M540)+1,0)</f>
        <v>539</v>
      </c>
      <c r="N541" s="290" t="s">
        <v>2452</v>
      </c>
      <c r="O541" s="305" t="s">
        <v>2453</v>
      </c>
      <c r="Q541" s="292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0" t="s">
        <v>2452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0" t="s">
        <v>2452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0" t="s">
        <v>2452</v>
      </c>
      <c r="Z541" t="str">
        <f>IFERROR(VLOOKUP(ROWS($Z$3:Z541),$X$3:$Y$992,2,0),"")</f>
        <v>Výroba ložisek, ozubených kol, převodů a hnacích prvků</v>
      </c>
    </row>
    <row r="542" spans="13:26">
      <c r="M542" s="289">
        <f>IF(ISNUMBER(SEARCH(ZAKL_DATA!$B$29,N542)),MAX($M$2:M541)+1,0)</f>
        <v>540</v>
      </c>
      <c r="N542" s="290" t="s">
        <v>2454</v>
      </c>
      <c r="O542" s="305" t="s">
        <v>2455</v>
      </c>
      <c r="Q542" s="292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0" t="s">
        <v>2454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0" t="s">
        <v>2454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0" t="s">
        <v>2454</v>
      </c>
      <c r="Z542" t="str">
        <f>IFERROR(VLOOKUP(ROWS($Z$3:Z542),$X$3:$Y$992,2,0),"")</f>
        <v>Výroba pecí a hořáků pro topeniště</v>
      </c>
    </row>
    <row r="543" spans="13:26">
      <c r="M543" s="289">
        <f>IF(ISNUMBER(SEARCH(ZAKL_DATA!$B$29,N543)),MAX($M$2:M542)+1,0)</f>
        <v>541</v>
      </c>
      <c r="N543" s="290" t="s">
        <v>2456</v>
      </c>
      <c r="O543" s="305" t="s">
        <v>2457</v>
      </c>
      <c r="Q543" s="292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0" t="s">
        <v>2456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0" t="s">
        <v>2456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0" t="s">
        <v>2456</v>
      </c>
      <c r="Z543" t="str">
        <f>IFERROR(VLOOKUP(ROWS($Z$3:Z543),$X$3:$Y$992,2,0),"")</f>
        <v>Výroba zdvihacích a manipulačních zařízení</v>
      </c>
    </row>
    <row r="544" spans="13:26">
      <c r="M544" s="289">
        <f>IF(ISNUMBER(SEARCH(ZAKL_DATA!$B$29,N544)),MAX($M$2:M543)+1,0)</f>
        <v>542</v>
      </c>
      <c r="N544" s="290" t="s">
        <v>2458</v>
      </c>
      <c r="O544" s="305" t="s">
        <v>2459</v>
      </c>
      <c r="Q544" s="292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0" t="s">
        <v>2458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0" t="s">
        <v>2458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0" t="s">
        <v>2458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89">
        <f>IF(ISNUMBER(SEARCH(ZAKL_DATA!$B$29,N545)),MAX($M$2:M544)+1,0)</f>
        <v>543</v>
      </c>
      <c r="N545" s="290" t="s">
        <v>2460</v>
      </c>
      <c r="O545" s="305" t="s">
        <v>2461</v>
      </c>
      <c r="Q545" s="292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0" t="s">
        <v>2460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0" t="s">
        <v>2460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0" t="s">
        <v>2460</v>
      </c>
      <c r="Z545" t="str">
        <f>IFERROR(VLOOKUP(ROWS($Z$3:Z545),$X$3:$Y$992,2,0),"")</f>
        <v>Výroba ručních mechanizovaných nástrojů</v>
      </c>
    </row>
    <row r="546" spans="13:26">
      <c r="M546" s="289">
        <f>IF(ISNUMBER(SEARCH(ZAKL_DATA!$B$29,N546)),MAX($M$2:M545)+1,0)</f>
        <v>544</v>
      </c>
      <c r="N546" s="290" t="s">
        <v>2462</v>
      </c>
      <c r="O546" s="305" t="s">
        <v>2463</v>
      </c>
      <c r="Q546" s="292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0" t="s">
        <v>2462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0" t="s">
        <v>2462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0" t="s">
        <v>2462</v>
      </c>
      <c r="Z546" t="str">
        <f>IFERROR(VLOOKUP(ROWS($Z$3:Z546),$X$3:$Y$992,2,0),"")</f>
        <v>Výroba průmyslových chladicích a klimatizačních zařízení</v>
      </c>
    </row>
    <row r="547" spans="13:26">
      <c r="M547" s="289">
        <f>IF(ISNUMBER(SEARCH(ZAKL_DATA!$B$29,N547)),MAX($M$2:M546)+1,0)</f>
        <v>545</v>
      </c>
      <c r="N547" s="290" t="s">
        <v>2464</v>
      </c>
      <c r="O547" s="305" t="s">
        <v>2465</v>
      </c>
      <c r="Q547" s="292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0" t="s">
        <v>2464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0" t="s">
        <v>2464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0" t="s">
        <v>2464</v>
      </c>
      <c r="Z547" t="str">
        <f>IFERROR(VLOOKUP(ROWS($Z$3:Z547),$X$3:$Y$992,2,0),"")</f>
        <v>Výroba ostatních strojů a zařízení pro všeobecné účely j. n.</v>
      </c>
    </row>
    <row r="548" spans="13:26">
      <c r="M548" s="289">
        <f>IF(ISNUMBER(SEARCH(ZAKL_DATA!$B$29,N548)),MAX($M$2:M547)+1,0)</f>
        <v>546</v>
      </c>
      <c r="N548" s="290" t="s">
        <v>2466</v>
      </c>
      <c r="O548" s="305" t="s">
        <v>2467</v>
      </c>
      <c r="Q548" s="292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0" t="s">
        <v>2466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0" t="s">
        <v>2466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0" t="s">
        <v>2466</v>
      </c>
      <c r="Z548" t="str">
        <f>IFERROR(VLOOKUP(ROWS($Z$3:Z548),$X$3:$Y$992,2,0),"")</f>
        <v>Výroba kovoobráběcích strojů</v>
      </c>
    </row>
    <row r="549" spans="13:26">
      <c r="M549" s="289">
        <f>IF(ISNUMBER(SEARCH(ZAKL_DATA!$B$29,N549)),MAX($M$2:M548)+1,0)</f>
        <v>547</v>
      </c>
      <c r="N549" s="290" t="s">
        <v>2468</v>
      </c>
      <c r="O549" s="305" t="s">
        <v>2469</v>
      </c>
      <c r="Q549" s="292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0" t="s">
        <v>2468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0" t="s">
        <v>2468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0" t="s">
        <v>2468</v>
      </c>
      <c r="Z549" t="str">
        <f>IFERROR(VLOOKUP(ROWS($Z$3:Z549),$X$3:$Y$992,2,0),"")</f>
        <v>Výroba ostatních obráběcích strojů</v>
      </c>
    </row>
    <row r="550" spans="13:26">
      <c r="M550" s="289">
        <f>IF(ISNUMBER(SEARCH(ZAKL_DATA!$B$29,N550)),MAX($M$2:M549)+1,0)</f>
        <v>548</v>
      </c>
      <c r="N550" s="290" t="s">
        <v>2470</v>
      </c>
      <c r="O550" s="305" t="s">
        <v>2471</v>
      </c>
      <c r="Q550" s="292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0" t="s">
        <v>2470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0" t="s">
        <v>2470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0" t="s">
        <v>2470</v>
      </c>
      <c r="Z550" t="str">
        <f>IFERROR(VLOOKUP(ROWS($Z$3:Z550),$X$3:$Y$992,2,0),"")</f>
        <v>Výroba strojů pro metalurgii</v>
      </c>
    </row>
    <row r="551" spans="13:26">
      <c r="M551" s="289">
        <f>IF(ISNUMBER(SEARCH(ZAKL_DATA!$B$29,N551)),MAX($M$2:M550)+1,0)</f>
        <v>549</v>
      </c>
      <c r="N551" s="290" t="s">
        <v>2472</v>
      </c>
      <c r="O551" s="305" t="s">
        <v>2473</v>
      </c>
      <c r="Q551" s="292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0" t="s">
        <v>2472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0" t="s">
        <v>2472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0" t="s">
        <v>2472</v>
      </c>
      <c r="Z551" t="str">
        <f>IFERROR(VLOOKUP(ROWS($Z$3:Z551),$X$3:$Y$992,2,0),"")</f>
        <v>Výroba strojů pro těžbu, dobývání a stavebnictví</v>
      </c>
    </row>
    <row r="552" spans="13:26">
      <c r="M552" s="289">
        <f>IF(ISNUMBER(SEARCH(ZAKL_DATA!$B$29,N552)),MAX($M$2:M551)+1,0)</f>
        <v>550</v>
      </c>
      <c r="N552" s="290" t="s">
        <v>2474</v>
      </c>
      <c r="O552" s="305" t="s">
        <v>2475</v>
      </c>
      <c r="Q552" s="292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0" t="s">
        <v>2474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0" t="s">
        <v>2474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0" t="s">
        <v>2474</v>
      </c>
      <c r="Z552" t="str">
        <f>IFERROR(VLOOKUP(ROWS($Z$3:Z552),$X$3:$Y$992,2,0),"")</f>
        <v>Výroba strojů na výrobu potravin, nápojů a zpracování tabáku</v>
      </c>
    </row>
    <row r="553" spans="13:26">
      <c r="M553" s="289">
        <f>IF(ISNUMBER(SEARCH(ZAKL_DATA!$B$29,N553)),MAX($M$2:M552)+1,0)</f>
        <v>551</v>
      </c>
      <c r="N553" s="290" t="s">
        <v>2476</v>
      </c>
      <c r="O553" s="305" t="s">
        <v>2477</v>
      </c>
      <c r="Q553" s="292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0" t="s">
        <v>2476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0" t="s">
        <v>2476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0" t="s">
        <v>2476</v>
      </c>
      <c r="Z553" t="str">
        <f>IFERROR(VLOOKUP(ROWS($Z$3:Z553),$X$3:$Y$992,2,0),"")</f>
        <v>Výroba strojů na výrobu textilu, oděvních výrobků a výrobků z usní</v>
      </c>
    </row>
    <row r="554" spans="13:26">
      <c r="M554" s="289">
        <f>IF(ISNUMBER(SEARCH(ZAKL_DATA!$B$29,N554)),MAX($M$2:M553)+1,0)</f>
        <v>552</v>
      </c>
      <c r="N554" s="290" t="s">
        <v>2478</v>
      </c>
      <c r="O554" s="305" t="s">
        <v>2479</v>
      </c>
      <c r="Q554" s="292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0" t="s">
        <v>2478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0" t="s">
        <v>2478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0" t="s">
        <v>2478</v>
      </c>
      <c r="Z554" t="str">
        <f>IFERROR(VLOOKUP(ROWS($Z$3:Z554),$X$3:$Y$992,2,0),"")</f>
        <v>Výroba strojů a přístrojů na výrobu papíru a lepenky</v>
      </c>
    </row>
    <row r="555" spans="13:26">
      <c r="M555" s="289">
        <f>IF(ISNUMBER(SEARCH(ZAKL_DATA!$B$29,N555)),MAX($M$2:M554)+1,0)</f>
        <v>553</v>
      </c>
      <c r="N555" s="290" t="s">
        <v>2480</v>
      </c>
      <c r="O555" s="305" t="s">
        <v>2481</v>
      </c>
      <c r="Q555" s="292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0" t="s">
        <v>2480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0" t="s">
        <v>2480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0" t="s">
        <v>2480</v>
      </c>
      <c r="Z555" t="str">
        <f>IFERROR(VLOOKUP(ROWS($Z$3:Z555),$X$3:$Y$992,2,0),"")</f>
        <v>Výroba strojů na výrobu plastů a pryže</v>
      </c>
    </row>
    <row r="556" spans="13:26">
      <c r="M556" s="289">
        <f>IF(ISNUMBER(SEARCH(ZAKL_DATA!$B$29,N556)),MAX($M$2:M555)+1,0)</f>
        <v>554</v>
      </c>
      <c r="N556" s="290" t="s">
        <v>2482</v>
      </c>
      <c r="O556" s="305" t="s">
        <v>2483</v>
      </c>
      <c r="Q556" s="292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0" t="s">
        <v>2482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0" t="s">
        <v>2482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0" t="s">
        <v>2482</v>
      </c>
      <c r="Z556" t="str">
        <f>IFERROR(VLOOKUP(ROWS($Z$3:Z556),$X$3:$Y$992,2,0),"")</f>
        <v>Výroba ostatních strojů pro speciální účely j. n.</v>
      </c>
    </row>
    <row r="557" spans="13:26">
      <c r="M557" s="289">
        <f>IF(ISNUMBER(SEARCH(ZAKL_DATA!$B$29,N557)),MAX($M$2:M556)+1,0)</f>
        <v>555</v>
      </c>
      <c r="N557" s="290" t="s">
        <v>2484</v>
      </c>
      <c r="O557" s="305" t="s">
        <v>2485</v>
      </c>
      <c r="Q557" s="292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0" t="s">
        <v>2484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0" t="s">
        <v>2484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0" t="s">
        <v>2484</v>
      </c>
      <c r="Z557" t="str">
        <f>IFERROR(VLOOKUP(ROWS($Z$3:Z557),$X$3:$Y$992,2,0),"")</f>
        <v>Výroba elektrického a elektronického zařízení pro motorová vozidla</v>
      </c>
    </row>
    <row r="558" spans="13:26">
      <c r="M558" s="289">
        <f>IF(ISNUMBER(SEARCH(ZAKL_DATA!$B$29,N558)),MAX($M$2:M557)+1,0)</f>
        <v>556</v>
      </c>
      <c r="N558" s="290" t="s">
        <v>2486</v>
      </c>
      <c r="O558" s="305" t="s">
        <v>2487</v>
      </c>
      <c r="Q558" s="292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0" t="s">
        <v>2486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0" t="s">
        <v>2486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0" t="s">
        <v>2486</v>
      </c>
      <c r="Z558" t="str">
        <f>IFERROR(VLOOKUP(ROWS($Z$3:Z558),$X$3:$Y$992,2,0),"")</f>
        <v>Výroba ostatních dílů a příslušenství pro motorová vozidla</v>
      </c>
    </row>
    <row r="559" spans="13:26">
      <c r="M559" s="289">
        <f>IF(ISNUMBER(SEARCH(ZAKL_DATA!$B$29,N559)),MAX($M$2:M558)+1,0)</f>
        <v>557</v>
      </c>
      <c r="N559" s="290" t="s">
        <v>2488</v>
      </c>
      <c r="O559" s="305" t="s">
        <v>2489</v>
      </c>
      <c r="Q559" s="292" t="str">
        <f>IFERROR(VLOOKUP(ROWS($Q$3:Q559),$M$3:$N$992,2,0),"")</f>
        <v>Stavba lodí a plavidel</v>
      </c>
      <c r="R559">
        <f>IF(ISNUMBER(SEARCH('1Př1'!$A$32,N559)),MAX($M$2:M558)+1,0)</f>
        <v>557</v>
      </c>
      <c r="S559" s="290" t="s">
        <v>2488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0" t="s">
        <v>2488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0" t="s">
        <v>2488</v>
      </c>
      <c r="Z559" t="str">
        <f>IFERROR(VLOOKUP(ROWS($Z$3:Z559),$X$3:$Y$992,2,0),"")</f>
        <v>Stavba lodí a plavidel</v>
      </c>
    </row>
    <row r="560" spans="13:26">
      <c r="M560" s="289">
        <f>IF(ISNUMBER(SEARCH(ZAKL_DATA!$B$29,N560)),MAX($M$2:M559)+1,0)</f>
        <v>558</v>
      </c>
      <c r="N560" s="290" t="s">
        <v>2490</v>
      </c>
      <c r="O560" s="305" t="s">
        <v>2491</v>
      </c>
      <c r="Q560" s="292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0" t="s">
        <v>2490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0" t="s">
        <v>2490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0" t="s">
        <v>2490</v>
      </c>
      <c r="Z560" t="str">
        <f>IFERROR(VLOOKUP(ROWS($Z$3:Z560),$X$3:$Y$992,2,0),"")</f>
        <v>Stavba rekreačních a sportovních člunů</v>
      </c>
    </row>
    <row r="561" spans="13:26">
      <c r="M561" s="289">
        <f>IF(ISNUMBER(SEARCH(ZAKL_DATA!$B$29,N561)),MAX($M$2:M560)+1,0)</f>
        <v>559</v>
      </c>
      <c r="N561" s="290" t="s">
        <v>2492</v>
      </c>
      <c r="O561" s="305" t="s">
        <v>2493</v>
      </c>
      <c r="Q561" s="292" t="str">
        <f>IFERROR(VLOOKUP(ROWS($Q$3:Q561),$M$3:$N$992,2,0),"")</f>
        <v>Výroba motocyklů</v>
      </c>
      <c r="R561">
        <f>IF(ISNUMBER(SEARCH('1Př1'!$A$32,N561)),MAX($M$2:M560)+1,0)</f>
        <v>559</v>
      </c>
      <c r="S561" s="290" t="s">
        <v>2492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0" t="s">
        <v>2492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0" t="s">
        <v>2492</v>
      </c>
      <c r="Z561" t="str">
        <f>IFERROR(VLOOKUP(ROWS($Z$3:Z561),$X$3:$Y$992,2,0),"")</f>
        <v>Výroba motocyklů</v>
      </c>
    </row>
    <row r="562" spans="13:26">
      <c r="M562" s="289">
        <f>IF(ISNUMBER(SEARCH(ZAKL_DATA!$B$29,N562)),MAX($M$2:M561)+1,0)</f>
        <v>560</v>
      </c>
      <c r="N562" s="290" t="s">
        <v>2494</v>
      </c>
      <c r="O562" s="305" t="s">
        <v>2495</v>
      </c>
      <c r="Q562" s="292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0" t="s">
        <v>2494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0" t="s">
        <v>2494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0" t="s">
        <v>2494</v>
      </c>
      <c r="Z562" t="str">
        <f>IFERROR(VLOOKUP(ROWS($Z$3:Z562),$X$3:$Y$992,2,0),"")</f>
        <v>Výroba jízdních kol a vozíků pro invalidy</v>
      </c>
    </row>
    <row r="563" spans="13:26">
      <c r="M563" s="289">
        <f>IF(ISNUMBER(SEARCH(ZAKL_DATA!$B$29,N563)),MAX($M$2:M562)+1,0)</f>
        <v>561</v>
      </c>
      <c r="N563" s="290" t="s">
        <v>2496</v>
      </c>
      <c r="O563" s="305" t="s">
        <v>2497</v>
      </c>
      <c r="Q563" s="292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0" t="s">
        <v>2496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0" t="s">
        <v>2496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0" t="s">
        <v>2496</v>
      </c>
      <c r="Z563" t="str">
        <f>IFERROR(VLOOKUP(ROWS($Z$3:Z563),$X$3:$Y$992,2,0),"")</f>
        <v>Výroba ostatních dopravních prostředků a zařízení j. n.</v>
      </c>
    </row>
    <row r="564" spans="13:26">
      <c r="M564" s="289">
        <f>IF(ISNUMBER(SEARCH(ZAKL_DATA!$B$29,N564)),MAX($M$2:M563)+1,0)</f>
        <v>562</v>
      </c>
      <c r="N564" s="290" t="s">
        <v>2498</v>
      </c>
      <c r="O564" s="305" t="s">
        <v>2499</v>
      </c>
      <c r="Q564" s="292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0" t="s">
        <v>2498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0" t="s">
        <v>2498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0" t="s">
        <v>2498</v>
      </c>
      <c r="Z564" t="str">
        <f>IFERROR(VLOOKUP(ROWS($Z$3:Z564),$X$3:$Y$992,2,0),"")</f>
        <v>Výroba kancelářského nábytku a zařízení obchodů</v>
      </c>
    </row>
    <row r="565" spans="13:26">
      <c r="M565" s="289">
        <f>IF(ISNUMBER(SEARCH(ZAKL_DATA!$B$29,N565)),MAX($M$2:M564)+1,0)</f>
        <v>563</v>
      </c>
      <c r="N565" s="290" t="s">
        <v>2500</v>
      </c>
      <c r="O565" s="305" t="s">
        <v>2501</v>
      </c>
      <c r="Q565" s="292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0" t="s">
        <v>2500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0" t="s">
        <v>2500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0" t="s">
        <v>2500</v>
      </c>
      <c r="Z565" t="str">
        <f>IFERROR(VLOOKUP(ROWS($Z$3:Z565),$X$3:$Y$992,2,0),"")</f>
        <v>Výroba kuchyňského nábytku</v>
      </c>
    </row>
    <row r="566" spans="13:26">
      <c r="M566" s="289">
        <f>IF(ISNUMBER(SEARCH(ZAKL_DATA!$B$29,N566)),MAX($M$2:M565)+1,0)</f>
        <v>564</v>
      </c>
      <c r="N566" s="290" t="s">
        <v>2502</v>
      </c>
      <c r="O566" s="305" t="s">
        <v>2503</v>
      </c>
      <c r="Q566" s="292" t="str">
        <f>IFERROR(VLOOKUP(ROWS($Q$3:Q566),$M$3:$N$992,2,0),"")</f>
        <v>Výroba matrací</v>
      </c>
      <c r="R566">
        <f>IF(ISNUMBER(SEARCH('1Př1'!$A$32,N566)),MAX($M$2:M565)+1,0)</f>
        <v>564</v>
      </c>
      <c r="S566" s="290" t="s">
        <v>2502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0" t="s">
        <v>2502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0" t="s">
        <v>2502</v>
      </c>
      <c r="Z566" t="str">
        <f>IFERROR(VLOOKUP(ROWS($Z$3:Z566),$X$3:$Y$992,2,0),"")</f>
        <v>Výroba matrací</v>
      </c>
    </row>
    <row r="567" spans="13:26">
      <c r="M567" s="289">
        <f>IF(ISNUMBER(SEARCH(ZAKL_DATA!$B$29,N567)),MAX($M$2:M566)+1,0)</f>
        <v>565</v>
      </c>
      <c r="N567" s="290" t="s">
        <v>2504</v>
      </c>
      <c r="O567" s="305" t="s">
        <v>2505</v>
      </c>
      <c r="Q567" s="292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0" t="s">
        <v>2504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0" t="s">
        <v>2504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0" t="s">
        <v>2504</v>
      </c>
      <c r="Z567" t="str">
        <f>IFERROR(VLOOKUP(ROWS($Z$3:Z567),$X$3:$Y$992,2,0),"")</f>
        <v>Výroba ostatního nábytku</v>
      </c>
    </row>
    <row r="568" spans="13:26">
      <c r="M568" s="289">
        <f>IF(ISNUMBER(SEARCH(ZAKL_DATA!$B$29,N568)),MAX($M$2:M567)+1,0)</f>
        <v>566</v>
      </c>
      <c r="N568" s="290" t="s">
        <v>2506</v>
      </c>
      <c r="O568" s="305" t="s">
        <v>2507</v>
      </c>
      <c r="Q568" s="292" t="str">
        <f>IFERROR(VLOOKUP(ROWS($Q$3:Q568),$M$3:$N$992,2,0),"")</f>
        <v>Ražení mincí</v>
      </c>
      <c r="R568">
        <f>IF(ISNUMBER(SEARCH('1Př1'!$A$32,N568)),MAX($M$2:M567)+1,0)</f>
        <v>566</v>
      </c>
      <c r="S568" s="290" t="s">
        <v>2506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0" t="s">
        <v>2506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0" t="s">
        <v>2506</v>
      </c>
      <c r="Z568" t="str">
        <f>IFERROR(VLOOKUP(ROWS($Z$3:Z568),$X$3:$Y$992,2,0),"")</f>
        <v>Ražení mincí</v>
      </c>
    </row>
    <row r="569" spans="13:26">
      <c r="M569" s="289">
        <f>IF(ISNUMBER(SEARCH(ZAKL_DATA!$B$29,N569)),MAX($M$2:M568)+1,0)</f>
        <v>567</v>
      </c>
      <c r="N569" s="290" t="s">
        <v>2508</v>
      </c>
      <c r="O569" s="305" t="s">
        <v>2509</v>
      </c>
      <c r="Q569" s="292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0" t="s">
        <v>2508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0" t="s">
        <v>2508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0" t="s">
        <v>2508</v>
      </c>
      <c r="Z569" t="str">
        <f>IFERROR(VLOOKUP(ROWS($Z$3:Z569),$X$3:$Y$992,2,0),"")</f>
        <v>Výroba klenotů a příbuzných výrobků</v>
      </c>
    </row>
    <row r="570" spans="13:26">
      <c r="M570" s="289">
        <f>IF(ISNUMBER(SEARCH(ZAKL_DATA!$B$29,N570)),MAX($M$2:M569)+1,0)</f>
        <v>568</v>
      </c>
      <c r="N570" s="290" t="s">
        <v>2510</v>
      </c>
      <c r="O570" s="305" t="s">
        <v>2511</v>
      </c>
      <c r="Q570" s="292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0" t="s">
        <v>2510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0" t="s">
        <v>2510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0" t="s">
        <v>2510</v>
      </c>
      <c r="Z570" t="str">
        <f>IFERROR(VLOOKUP(ROWS($Z$3:Z570),$X$3:$Y$992,2,0),"")</f>
        <v>Výroba bižuterie a příbuzných výrobků</v>
      </c>
    </row>
    <row r="571" spans="13:26">
      <c r="M571" s="289">
        <f>IF(ISNUMBER(SEARCH(ZAKL_DATA!$B$29,N571)),MAX($M$2:M570)+1,0)</f>
        <v>569</v>
      </c>
      <c r="N571" s="290" t="s">
        <v>2512</v>
      </c>
      <c r="O571" s="305" t="s">
        <v>2513</v>
      </c>
      <c r="Q571" s="292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0" t="s">
        <v>2512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0" t="s">
        <v>2512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0" t="s">
        <v>2512</v>
      </c>
      <c r="Z571" t="str">
        <f>IFERROR(VLOOKUP(ROWS($Z$3:Z571),$X$3:$Y$992,2,0),"")</f>
        <v>Výroba košťat a kartáčnických výrobků</v>
      </c>
    </row>
    <row r="572" spans="13:26">
      <c r="M572" s="289">
        <f>IF(ISNUMBER(SEARCH(ZAKL_DATA!$B$29,N572)),MAX($M$2:M571)+1,0)</f>
        <v>570</v>
      </c>
      <c r="N572" s="290" t="s">
        <v>2514</v>
      </c>
      <c r="O572" s="305" t="s">
        <v>2515</v>
      </c>
      <c r="Q572" s="292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0" t="s">
        <v>2514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0" t="s">
        <v>2514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0" t="s">
        <v>2514</v>
      </c>
      <c r="Z572" t="str">
        <f>IFERROR(VLOOKUP(ROWS($Z$3:Z572),$X$3:$Y$992,2,0),"")</f>
        <v>Ostatní zpracovatelský průmysl j. n.</v>
      </c>
    </row>
    <row r="573" spans="13:26">
      <c r="M573" s="289">
        <f>IF(ISNUMBER(SEARCH(ZAKL_DATA!$B$29,N573)),MAX($M$2:M572)+1,0)</f>
        <v>571</v>
      </c>
      <c r="N573" s="290" t="s">
        <v>2516</v>
      </c>
      <c r="O573" s="305" t="s">
        <v>2517</v>
      </c>
      <c r="Q573" s="292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0" t="s">
        <v>2516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0" t="s">
        <v>2516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0" t="s">
        <v>2516</v>
      </c>
      <c r="Z573" t="str">
        <f>IFERROR(VLOOKUP(ROWS($Z$3:Z573),$X$3:$Y$992,2,0),"")</f>
        <v>Opravy kovodělných výrobků</v>
      </c>
    </row>
    <row r="574" spans="13:26">
      <c r="M574" s="289">
        <f>IF(ISNUMBER(SEARCH(ZAKL_DATA!$B$29,N574)),MAX($M$2:M573)+1,0)</f>
        <v>572</v>
      </c>
      <c r="N574" s="290" t="s">
        <v>2518</v>
      </c>
      <c r="O574" s="305" t="s">
        <v>2519</v>
      </c>
      <c r="Q574" s="292" t="str">
        <f>IFERROR(VLOOKUP(ROWS($Q$3:Q574),$M$3:$N$992,2,0),"")</f>
        <v>Opravy strojů</v>
      </c>
      <c r="R574">
        <f>IF(ISNUMBER(SEARCH('1Př1'!$A$32,N574)),MAX($M$2:M573)+1,0)</f>
        <v>572</v>
      </c>
      <c r="S574" s="290" t="s">
        <v>2518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0" t="s">
        <v>2518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0" t="s">
        <v>2518</v>
      </c>
      <c r="Z574" t="str">
        <f>IFERROR(VLOOKUP(ROWS($Z$3:Z574),$X$3:$Y$992,2,0),"")</f>
        <v>Opravy strojů</v>
      </c>
    </row>
    <row r="575" spans="13:26">
      <c r="M575" s="289">
        <f>IF(ISNUMBER(SEARCH(ZAKL_DATA!$B$29,N575)),MAX($M$2:M574)+1,0)</f>
        <v>573</v>
      </c>
      <c r="N575" s="290" t="s">
        <v>2520</v>
      </c>
      <c r="O575" s="305" t="s">
        <v>2521</v>
      </c>
      <c r="Q575" s="292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0" t="s">
        <v>2520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0" t="s">
        <v>2520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0" t="s">
        <v>2520</v>
      </c>
      <c r="Z575" t="str">
        <f>IFERROR(VLOOKUP(ROWS($Z$3:Z575),$X$3:$Y$992,2,0),"")</f>
        <v>Opravy elektronických a optických přístrojů a zařízení</v>
      </c>
    </row>
    <row r="576" spans="13:26">
      <c r="M576" s="289">
        <f>IF(ISNUMBER(SEARCH(ZAKL_DATA!$B$29,N576)),MAX($M$2:M575)+1,0)</f>
        <v>574</v>
      </c>
      <c r="N576" s="290" t="s">
        <v>2522</v>
      </c>
      <c r="O576" s="305" t="s">
        <v>2523</v>
      </c>
      <c r="Q576" s="292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0" t="s">
        <v>2522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0" t="s">
        <v>2522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0" t="s">
        <v>2522</v>
      </c>
      <c r="Z576" t="str">
        <f>IFERROR(VLOOKUP(ROWS($Z$3:Z576),$X$3:$Y$992,2,0),"")</f>
        <v>Opravy elektrických zařízen</v>
      </c>
    </row>
    <row r="577" spans="13:26">
      <c r="M577" s="289">
        <f>IF(ISNUMBER(SEARCH(ZAKL_DATA!$B$29,N577)),MAX($M$2:M576)+1,0)</f>
        <v>575</v>
      </c>
      <c r="N577" s="290" t="s">
        <v>2524</v>
      </c>
      <c r="O577" s="305" t="s">
        <v>2525</v>
      </c>
      <c r="Q577" s="292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0" t="s">
        <v>2524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0" t="s">
        <v>2524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0" t="s">
        <v>2524</v>
      </c>
      <c r="Z577" t="str">
        <f>IFERROR(VLOOKUP(ROWS($Z$3:Z577),$X$3:$Y$992,2,0),"")</f>
        <v>Opravy a údržba lodí a člunů</v>
      </c>
    </row>
    <row r="578" spans="13:26">
      <c r="M578" s="289">
        <f>IF(ISNUMBER(SEARCH(ZAKL_DATA!$B$29,N578)),MAX($M$2:M577)+1,0)</f>
        <v>576</v>
      </c>
      <c r="N578" s="290" t="s">
        <v>2526</v>
      </c>
      <c r="O578" s="305" t="s">
        <v>2527</v>
      </c>
      <c r="Q578" s="292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0" t="s">
        <v>2526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0" t="s">
        <v>2526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0" t="s">
        <v>2526</v>
      </c>
      <c r="Z578" t="str">
        <f>IFERROR(VLOOKUP(ROWS($Z$3:Z578),$X$3:$Y$992,2,0),"")</f>
        <v>Opravy a údržba letadel a kosmických lodí</v>
      </c>
    </row>
    <row r="579" spans="13:26">
      <c r="M579" s="289">
        <f>IF(ISNUMBER(SEARCH(ZAKL_DATA!$B$29,N579)),MAX($M$2:M578)+1,0)</f>
        <v>577</v>
      </c>
      <c r="N579" s="290" t="s">
        <v>2528</v>
      </c>
      <c r="O579" s="305" t="s">
        <v>2529</v>
      </c>
      <c r="Q579" s="292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0" t="s">
        <v>2528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0" t="s">
        <v>2528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0" t="s">
        <v>2528</v>
      </c>
      <c r="Z579" t="str">
        <f>IFERROR(VLOOKUP(ROWS($Z$3:Z579),$X$3:$Y$992,2,0),"")</f>
        <v>Opravy a údržba ostatních dopravních prostředků a zařízení j. n.</v>
      </c>
    </row>
    <row r="580" spans="13:26">
      <c r="M580" s="289">
        <f>IF(ISNUMBER(SEARCH(ZAKL_DATA!$B$29,N580)),MAX($M$2:M579)+1,0)</f>
        <v>578</v>
      </c>
      <c r="N580" s="290" t="s">
        <v>2530</v>
      </c>
      <c r="O580" s="305" t="s">
        <v>2531</v>
      </c>
      <c r="Q580" s="292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0" t="s">
        <v>2530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0" t="s">
        <v>2530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0" t="s">
        <v>2530</v>
      </c>
      <c r="Z580" t="str">
        <f>IFERROR(VLOOKUP(ROWS($Z$3:Z580),$X$3:$Y$992,2,0),"")</f>
        <v>Opravy ostatních zařízení</v>
      </c>
    </row>
    <row r="581" spans="13:26">
      <c r="M581" s="289">
        <f>IF(ISNUMBER(SEARCH(ZAKL_DATA!$B$29,N581)),MAX($M$2:M580)+1,0)</f>
        <v>579</v>
      </c>
      <c r="N581" s="290" t="s">
        <v>2532</v>
      </c>
      <c r="O581" s="305" t="s">
        <v>2533</v>
      </c>
      <c r="Q581" s="292" t="str">
        <f>IFERROR(VLOOKUP(ROWS($Q$3:Q581),$M$3:$N$992,2,0),"")</f>
        <v>Výroba elektřiny</v>
      </c>
      <c r="R581">
        <f>IF(ISNUMBER(SEARCH('1Př1'!$A$32,N581)),MAX($M$2:M580)+1,0)</f>
        <v>579</v>
      </c>
      <c r="S581" s="290" t="s">
        <v>2532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0" t="s">
        <v>2532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0" t="s">
        <v>2532</v>
      </c>
      <c r="Z581" t="str">
        <f>IFERROR(VLOOKUP(ROWS($Z$3:Z581),$X$3:$Y$992,2,0),"")</f>
        <v>Výroba elektřiny</v>
      </c>
    </row>
    <row r="582" spans="13:26">
      <c r="M582" s="289">
        <f>IF(ISNUMBER(SEARCH(ZAKL_DATA!$B$29,N582)),MAX($M$2:M581)+1,0)</f>
        <v>580</v>
      </c>
      <c r="N582" s="290" t="s">
        <v>2534</v>
      </c>
      <c r="O582" s="305" t="s">
        <v>2535</v>
      </c>
      <c r="Q582" s="292" t="str">
        <f>IFERROR(VLOOKUP(ROWS($Q$3:Q582),$M$3:$N$992,2,0),"")</f>
        <v>Přenos elektřiny</v>
      </c>
      <c r="R582">
        <f>IF(ISNUMBER(SEARCH('1Př1'!$A$32,N582)),MAX($M$2:M581)+1,0)</f>
        <v>580</v>
      </c>
      <c r="S582" s="290" t="s">
        <v>2534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0" t="s">
        <v>2534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0" t="s">
        <v>2534</v>
      </c>
      <c r="Z582" t="str">
        <f>IFERROR(VLOOKUP(ROWS($Z$3:Z582),$X$3:$Y$992,2,0),"")</f>
        <v>Přenos elektřiny</v>
      </c>
    </row>
    <row r="583" spans="13:26">
      <c r="M583" s="289">
        <f>IF(ISNUMBER(SEARCH(ZAKL_DATA!$B$29,N583)),MAX($M$2:M582)+1,0)</f>
        <v>581</v>
      </c>
      <c r="N583" s="290" t="s">
        <v>2536</v>
      </c>
      <c r="O583" s="305" t="s">
        <v>2537</v>
      </c>
      <c r="Q583" s="292" t="str">
        <f>IFERROR(VLOOKUP(ROWS($Q$3:Q583),$M$3:$N$992,2,0),"")</f>
        <v>Rozvod elektřiny</v>
      </c>
      <c r="R583">
        <f>IF(ISNUMBER(SEARCH('1Př1'!$A$32,N583)),MAX($M$2:M582)+1,0)</f>
        <v>581</v>
      </c>
      <c r="S583" s="290" t="s">
        <v>2536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0" t="s">
        <v>2536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0" t="s">
        <v>2536</v>
      </c>
      <c r="Z583" t="str">
        <f>IFERROR(VLOOKUP(ROWS($Z$3:Z583),$X$3:$Y$992,2,0),"")</f>
        <v>Rozvod elektřiny</v>
      </c>
    </row>
    <row r="584" spans="13:26">
      <c r="M584" s="289">
        <f>IF(ISNUMBER(SEARCH(ZAKL_DATA!$B$29,N584)),MAX($M$2:M583)+1,0)</f>
        <v>582</v>
      </c>
      <c r="N584" s="290" t="s">
        <v>2538</v>
      </c>
      <c r="O584" s="305" t="s">
        <v>2539</v>
      </c>
      <c r="Q584" s="292" t="str">
        <f>IFERROR(VLOOKUP(ROWS($Q$3:Q584),$M$3:$N$992,2,0),"")</f>
        <v>Obchod s elektřinou</v>
      </c>
      <c r="R584">
        <f>IF(ISNUMBER(SEARCH('1Př1'!$A$32,N584)),MAX($M$2:M583)+1,0)</f>
        <v>582</v>
      </c>
      <c r="S584" s="290" t="s">
        <v>2538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0" t="s">
        <v>2538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0" t="s">
        <v>2538</v>
      </c>
      <c r="Z584" t="str">
        <f>IFERROR(VLOOKUP(ROWS($Z$3:Z584),$X$3:$Y$992,2,0),"")</f>
        <v>Obchod s elektřinou</v>
      </c>
    </row>
    <row r="585" spans="13:26">
      <c r="M585" s="289">
        <f>IF(ISNUMBER(SEARCH(ZAKL_DATA!$B$29,N585)),MAX($M$2:M584)+1,0)</f>
        <v>583</v>
      </c>
      <c r="N585" s="290" t="s">
        <v>2540</v>
      </c>
      <c r="O585" s="305" t="s">
        <v>2541</v>
      </c>
      <c r="Q585" s="292" t="str">
        <f>IFERROR(VLOOKUP(ROWS($Q$3:Q585),$M$3:$N$992,2,0),"")</f>
        <v>Výroba plynu</v>
      </c>
      <c r="R585">
        <f>IF(ISNUMBER(SEARCH('1Př1'!$A$32,N585)),MAX($M$2:M584)+1,0)</f>
        <v>583</v>
      </c>
      <c r="S585" s="290" t="s">
        <v>2540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0" t="s">
        <v>2540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0" t="s">
        <v>2540</v>
      </c>
      <c r="Z585" t="str">
        <f>IFERROR(VLOOKUP(ROWS($Z$3:Z585),$X$3:$Y$992,2,0),"")</f>
        <v>Výroba plynu</v>
      </c>
    </row>
    <row r="586" spans="13:26">
      <c r="M586" s="289">
        <f>IF(ISNUMBER(SEARCH(ZAKL_DATA!$B$29,N586)),MAX($M$2:M585)+1,0)</f>
        <v>584</v>
      </c>
      <c r="N586" s="290" t="s">
        <v>2542</v>
      </c>
      <c r="O586" s="305" t="s">
        <v>2543</v>
      </c>
      <c r="Q586" s="292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0" t="s">
        <v>2542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0" t="s">
        <v>2542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0" t="s">
        <v>2542</v>
      </c>
      <c r="Z586" t="str">
        <f>IFERROR(VLOOKUP(ROWS($Z$3:Z586),$X$3:$Y$992,2,0),"")</f>
        <v>Rozvod plynných paliv prostřednictvím sítí</v>
      </c>
    </row>
    <row r="587" spans="13:26">
      <c r="M587" s="289">
        <f>IF(ISNUMBER(SEARCH(ZAKL_DATA!$B$29,N587)),MAX($M$2:M586)+1,0)</f>
        <v>585</v>
      </c>
      <c r="N587" s="290" t="s">
        <v>2544</v>
      </c>
      <c r="O587" s="305" t="s">
        <v>2545</v>
      </c>
      <c r="Q587" s="292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0" t="s">
        <v>2544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0" t="s">
        <v>2544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0" t="s">
        <v>2544</v>
      </c>
      <c r="Z587" t="str">
        <f>IFERROR(VLOOKUP(ROWS($Z$3:Z587),$X$3:$Y$992,2,0),"")</f>
        <v>Obchod s plynem prostřednictvím sítí</v>
      </c>
    </row>
    <row r="588" spans="13:26">
      <c r="M588" s="289">
        <f>IF(ISNUMBER(SEARCH(ZAKL_DATA!$B$29,N588)),MAX($M$2:M587)+1,0)</f>
        <v>586</v>
      </c>
      <c r="N588" s="290" t="s">
        <v>2546</v>
      </c>
      <c r="O588" s="305" t="s">
        <v>2547</v>
      </c>
      <c r="Q588" s="292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0" t="s">
        <v>2546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0" t="s">
        <v>2546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0" t="s">
        <v>2546</v>
      </c>
      <c r="Z588" t="str">
        <f>IFERROR(VLOOKUP(ROWS($Z$3:Z588),$X$3:$Y$992,2,0),"")</f>
        <v>Shromažďování a sběr odpadů, kromě nebezpečných</v>
      </c>
    </row>
    <row r="589" spans="13:26">
      <c r="M589" s="289">
        <f>IF(ISNUMBER(SEARCH(ZAKL_DATA!$B$29,N589)),MAX($M$2:M588)+1,0)</f>
        <v>587</v>
      </c>
      <c r="N589" s="290" t="s">
        <v>2548</v>
      </c>
      <c r="O589" s="305" t="s">
        <v>2549</v>
      </c>
      <c r="Q589" s="292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0" t="s">
        <v>2548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0" t="s">
        <v>2548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0" t="s">
        <v>2548</v>
      </c>
      <c r="Z589" t="str">
        <f>IFERROR(VLOOKUP(ROWS($Z$3:Z589),$X$3:$Y$992,2,0),"")</f>
        <v>Shromažďování a sběr nebezpečných odpadů</v>
      </c>
    </row>
    <row r="590" spans="13:26">
      <c r="M590" s="289">
        <f>IF(ISNUMBER(SEARCH(ZAKL_DATA!$B$29,N590)),MAX($M$2:M589)+1,0)</f>
        <v>588</v>
      </c>
      <c r="N590" s="290" t="s">
        <v>2550</v>
      </c>
      <c r="O590" s="305" t="s">
        <v>2551</v>
      </c>
      <c r="Q590" s="292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0" t="s">
        <v>2550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0" t="s">
        <v>2550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0" t="s">
        <v>2550</v>
      </c>
      <c r="Z590" t="str">
        <f>IFERROR(VLOOKUP(ROWS($Z$3:Z590),$X$3:$Y$992,2,0),"")</f>
        <v>Odstraňování odpadů, kromě nebezpečných</v>
      </c>
    </row>
    <row r="591" spans="13:26">
      <c r="M591" s="289">
        <f>IF(ISNUMBER(SEARCH(ZAKL_DATA!$B$29,N591)),MAX($M$2:M590)+1,0)</f>
        <v>589</v>
      </c>
      <c r="N591" s="290" t="s">
        <v>2552</v>
      </c>
      <c r="O591" s="305" t="s">
        <v>2553</v>
      </c>
      <c r="Q591" s="292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0" t="s">
        <v>2552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0" t="s">
        <v>2552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0" t="s">
        <v>2552</v>
      </c>
      <c r="Z591" t="str">
        <f>IFERROR(VLOOKUP(ROWS($Z$3:Z591),$X$3:$Y$992,2,0),"")</f>
        <v>Odstraňování nebezpečných odpadů</v>
      </c>
    </row>
    <row r="592" spans="13:26">
      <c r="M592" s="289">
        <f>IF(ISNUMBER(SEARCH(ZAKL_DATA!$B$29,N592)),MAX($M$2:M591)+1,0)</f>
        <v>590</v>
      </c>
      <c r="N592" s="290" t="s">
        <v>2554</v>
      </c>
      <c r="O592" s="305" t="s">
        <v>2555</v>
      </c>
      <c r="Q592" s="292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0" t="s">
        <v>2554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0" t="s">
        <v>2554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0" t="s">
        <v>2554</v>
      </c>
      <c r="Z592" t="str">
        <f>IFERROR(VLOOKUP(ROWS($Z$3:Z592),$X$3:$Y$992,2,0),"")</f>
        <v>Demontáž vraků a vyřazených strojů a zařízení pro účely recyklace</v>
      </c>
    </row>
    <row r="593" spans="13:26">
      <c r="M593" s="289">
        <f>IF(ISNUMBER(SEARCH(ZAKL_DATA!$B$29,N593)),MAX($M$2:M592)+1,0)</f>
        <v>591</v>
      </c>
      <c r="N593" s="290" t="s">
        <v>2556</v>
      </c>
      <c r="O593" s="305" t="s">
        <v>2557</v>
      </c>
      <c r="Q593" s="292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0" t="s">
        <v>2556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0" t="s">
        <v>2556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0" t="s">
        <v>2556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89">
        <f>IF(ISNUMBER(SEARCH(ZAKL_DATA!$B$29,N594)),MAX($M$2:M593)+1,0)</f>
        <v>592</v>
      </c>
      <c r="N594" s="290" t="s">
        <v>2558</v>
      </c>
      <c r="O594" s="305" t="s">
        <v>1847</v>
      </c>
      <c r="Q594" s="292" t="str">
        <f>IFERROR(VLOOKUP(ROWS($Q$3:Q594),$M$3:$N$992,2,0),"")</f>
        <v>Výstavba bytových budov</v>
      </c>
      <c r="R594">
        <f>IF(ISNUMBER(SEARCH('1Př1'!$A$32,N594)),MAX($M$2:M593)+1,0)</f>
        <v>592</v>
      </c>
      <c r="S594" s="290" t="s">
        <v>2558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0" t="s">
        <v>2558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0" t="s">
        <v>2558</v>
      </c>
      <c r="Z594" t="str">
        <f>IFERROR(VLOOKUP(ROWS($Z$3:Z594),$X$3:$Y$992,2,0),"")</f>
        <v>Výstavba bytových budov</v>
      </c>
    </row>
    <row r="595" spans="13:26">
      <c r="M595" s="289">
        <f>IF(ISNUMBER(SEARCH(ZAKL_DATA!$B$29,N595)),MAX($M$2:M594)+1,0)</f>
        <v>593</v>
      </c>
      <c r="N595" s="290" t="s">
        <v>2559</v>
      </c>
      <c r="O595" s="305" t="s">
        <v>2560</v>
      </c>
      <c r="Q595" s="292" t="str">
        <f>IFERROR(VLOOKUP(ROWS($Q$3:Q595),$M$3:$N$992,2,0),"")</f>
        <v>Výstavba silnic a dálnic</v>
      </c>
      <c r="R595">
        <f>IF(ISNUMBER(SEARCH('1Př1'!$A$32,N595)),MAX($M$2:M594)+1,0)</f>
        <v>593</v>
      </c>
      <c r="S595" s="290" t="s">
        <v>2559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0" t="s">
        <v>2559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0" t="s">
        <v>2559</v>
      </c>
      <c r="Z595" t="str">
        <f>IFERROR(VLOOKUP(ROWS($Z$3:Z595),$X$3:$Y$992,2,0),"")</f>
        <v>Výstavba silnic a dálnic</v>
      </c>
    </row>
    <row r="596" spans="13:26">
      <c r="M596" s="289">
        <f>IF(ISNUMBER(SEARCH(ZAKL_DATA!$B$29,N596)),MAX($M$2:M595)+1,0)</f>
        <v>594</v>
      </c>
      <c r="N596" s="290" t="s">
        <v>2561</v>
      </c>
      <c r="O596" s="305" t="s">
        <v>2562</v>
      </c>
      <c r="Q596" s="292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0" t="s">
        <v>2561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0" t="s">
        <v>2561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0" t="s">
        <v>2561</v>
      </c>
      <c r="Z596" t="str">
        <f>IFERROR(VLOOKUP(ROWS($Z$3:Z596),$X$3:$Y$992,2,0),"")</f>
        <v>Výstavba železnic a podzemních drah</v>
      </c>
    </row>
    <row r="597" spans="13:26">
      <c r="M597" s="289">
        <f>IF(ISNUMBER(SEARCH(ZAKL_DATA!$B$29,N597)),MAX($M$2:M596)+1,0)</f>
        <v>595</v>
      </c>
      <c r="N597" s="290" t="s">
        <v>2563</v>
      </c>
      <c r="O597" s="305" t="s">
        <v>2564</v>
      </c>
      <c r="Q597" s="292" t="str">
        <f>IFERROR(VLOOKUP(ROWS($Q$3:Q597),$M$3:$N$992,2,0),"")</f>
        <v>Výstavba mostů a tunelů</v>
      </c>
      <c r="R597">
        <f>IF(ISNUMBER(SEARCH('1Př1'!$A$32,N597)),MAX($M$2:M596)+1,0)</f>
        <v>595</v>
      </c>
      <c r="S597" s="290" t="s">
        <v>2563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0" t="s">
        <v>2563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0" t="s">
        <v>2563</v>
      </c>
      <c r="Z597" t="str">
        <f>IFERROR(VLOOKUP(ROWS($Z$3:Z597),$X$3:$Y$992,2,0),"")</f>
        <v>Výstavba mostů a tunelů</v>
      </c>
    </row>
    <row r="598" spans="13:26">
      <c r="M598" s="289">
        <f>IF(ISNUMBER(SEARCH(ZAKL_DATA!$B$29,N598)),MAX($M$2:M597)+1,0)</f>
        <v>596</v>
      </c>
      <c r="N598" s="290" t="s">
        <v>2565</v>
      </c>
      <c r="O598" s="305" t="s">
        <v>2566</v>
      </c>
      <c r="Q598" s="292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0" t="s">
        <v>2565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0" t="s">
        <v>2565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0" t="s">
        <v>2565</v>
      </c>
      <c r="Z598" t="str">
        <f>IFERROR(VLOOKUP(ROWS($Z$3:Z598),$X$3:$Y$992,2,0),"")</f>
        <v>Výstavba inženýrských sítí pro kapaliny a plyny</v>
      </c>
    </row>
    <row r="599" spans="13:26">
      <c r="M599" s="289">
        <f>IF(ISNUMBER(SEARCH(ZAKL_DATA!$B$29,N599)),MAX($M$2:M598)+1,0)</f>
        <v>597</v>
      </c>
      <c r="N599" s="290" t="s">
        <v>2567</v>
      </c>
      <c r="O599" s="305" t="s">
        <v>2568</v>
      </c>
      <c r="Q599" s="292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0" t="s">
        <v>2567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0" t="s">
        <v>2567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0" t="s">
        <v>2567</v>
      </c>
      <c r="Z599" t="str">
        <f>IFERROR(VLOOKUP(ROWS($Z$3:Z599),$X$3:$Y$992,2,0),"")</f>
        <v>Výstavba inženýrských sítí pro elektřinu a telekomunikace</v>
      </c>
    </row>
    <row r="600" spans="13:26">
      <c r="M600" s="289">
        <f>IF(ISNUMBER(SEARCH(ZAKL_DATA!$B$29,N600)),MAX($M$2:M599)+1,0)</f>
        <v>598</v>
      </c>
      <c r="N600" s="290" t="s">
        <v>2569</v>
      </c>
      <c r="O600" s="305" t="s">
        <v>2570</v>
      </c>
      <c r="Q600" s="292" t="str">
        <f>IFERROR(VLOOKUP(ROWS($Q$3:Q600),$M$3:$N$992,2,0),"")</f>
        <v>Výstavba vodních děl</v>
      </c>
      <c r="R600">
        <f>IF(ISNUMBER(SEARCH('1Př1'!$A$32,N600)),MAX($M$2:M599)+1,0)</f>
        <v>598</v>
      </c>
      <c r="S600" s="290" t="s">
        <v>2569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0" t="s">
        <v>2569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0" t="s">
        <v>2569</v>
      </c>
      <c r="Z600" t="str">
        <f>IFERROR(VLOOKUP(ROWS($Z$3:Z600),$X$3:$Y$992,2,0),"")</f>
        <v>Výstavba vodních děl</v>
      </c>
    </row>
    <row r="601" spans="13:26">
      <c r="M601" s="289">
        <f>IF(ISNUMBER(SEARCH(ZAKL_DATA!$B$29,N601)),MAX($M$2:M600)+1,0)</f>
        <v>599</v>
      </c>
      <c r="N601" s="290" t="s">
        <v>2571</v>
      </c>
      <c r="O601" s="305" t="s">
        <v>2572</v>
      </c>
      <c r="Q601" s="292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0" t="s">
        <v>2571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0" t="s">
        <v>2571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0" t="s">
        <v>2571</v>
      </c>
      <c r="Z601" t="str">
        <f>IFERROR(VLOOKUP(ROWS($Z$3:Z601),$X$3:$Y$992,2,0),"")</f>
        <v>Výstavba ostatních staveb j. n.</v>
      </c>
    </row>
    <row r="602" spans="13:26">
      <c r="M602" s="289">
        <f>IF(ISNUMBER(SEARCH(ZAKL_DATA!$B$29,N602)),MAX($M$2:M601)+1,0)</f>
        <v>600</v>
      </c>
      <c r="N602" s="290" t="s">
        <v>2573</v>
      </c>
      <c r="O602" s="305" t="s">
        <v>2574</v>
      </c>
      <c r="Q602" s="292" t="str">
        <f>IFERROR(VLOOKUP(ROWS($Q$3:Q602),$M$3:$N$992,2,0),"")</f>
        <v>Demolice</v>
      </c>
      <c r="R602">
        <f>IF(ISNUMBER(SEARCH('1Př1'!$A$32,N602)),MAX($M$2:M601)+1,0)</f>
        <v>600</v>
      </c>
      <c r="S602" s="290" t="s">
        <v>2573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0" t="s">
        <v>2573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0" t="s">
        <v>2573</v>
      </c>
      <c r="Z602" t="str">
        <f>IFERROR(VLOOKUP(ROWS($Z$3:Z602),$X$3:$Y$992,2,0),"")</f>
        <v>Demolice</v>
      </c>
    </row>
    <row r="603" spans="13:26">
      <c r="M603" s="289">
        <f>IF(ISNUMBER(SEARCH(ZAKL_DATA!$B$29,N603)),MAX($M$2:M602)+1,0)</f>
        <v>601</v>
      </c>
      <c r="N603" s="290" t="s">
        <v>2575</v>
      </c>
      <c r="O603" s="305" t="s">
        <v>2576</v>
      </c>
      <c r="Q603" s="292" t="str">
        <f>IFERROR(VLOOKUP(ROWS($Q$3:Q603),$M$3:$N$992,2,0),"")</f>
        <v>Příprava staveniště</v>
      </c>
      <c r="R603">
        <f>IF(ISNUMBER(SEARCH('1Př1'!$A$32,N603)),MAX($M$2:M602)+1,0)</f>
        <v>601</v>
      </c>
      <c r="S603" s="290" t="s">
        <v>2575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0" t="s">
        <v>2575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0" t="s">
        <v>2575</v>
      </c>
      <c r="Z603" t="str">
        <f>IFERROR(VLOOKUP(ROWS($Z$3:Z603),$X$3:$Y$992,2,0),"")</f>
        <v>Příprava staveniště</v>
      </c>
    </row>
    <row r="604" spans="13:26">
      <c r="M604" s="289">
        <f>IF(ISNUMBER(SEARCH(ZAKL_DATA!$B$29,N604)),MAX($M$2:M603)+1,0)</f>
        <v>602</v>
      </c>
      <c r="N604" s="290" t="s">
        <v>2577</v>
      </c>
      <c r="O604" s="305" t="s">
        <v>2578</v>
      </c>
      <c r="Q604" s="292" t="str">
        <f>IFERROR(VLOOKUP(ROWS($Q$3:Q604),$M$3:$N$992,2,0),"")</f>
        <v>Průzkumné vrtné práce</v>
      </c>
      <c r="R604">
        <f>IF(ISNUMBER(SEARCH('1Př1'!$A$32,N604)),MAX($M$2:M603)+1,0)</f>
        <v>602</v>
      </c>
      <c r="S604" s="290" t="s">
        <v>2577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0" t="s">
        <v>2577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0" t="s">
        <v>2577</v>
      </c>
      <c r="Z604" t="str">
        <f>IFERROR(VLOOKUP(ROWS($Z$3:Z604),$X$3:$Y$992,2,0),"")</f>
        <v>Průzkumné vrtné práce</v>
      </c>
    </row>
    <row r="605" spans="13:26">
      <c r="M605" s="289">
        <f>IF(ISNUMBER(SEARCH(ZAKL_DATA!$B$29,N605)),MAX($M$2:M604)+1,0)</f>
        <v>603</v>
      </c>
      <c r="N605" s="290" t="s">
        <v>2579</v>
      </c>
      <c r="O605" s="305" t="s">
        <v>2580</v>
      </c>
      <c r="Q605" s="292" t="str">
        <f>IFERROR(VLOOKUP(ROWS($Q$3:Q605),$M$3:$N$992,2,0),"")</f>
        <v>Elektrické instalace</v>
      </c>
      <c r="R605">
        <f>IF(ISNUMBER(SEARCH('1Př1'!$A$32,N605)),MAX($M$2:M604)+1,0)</f>
        <v>603</v>
      </c>
      <c r="S605" s="290" t="s">
        <v>2579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0" t="s">
        <v>2579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0" t="s">
        <v>2579</v>
      </c>
      <c r="Z605" t="str">
        <f>IFERROR(VLOOKUP(ROWS($Z$3:Z605),$X$3:$Y$992,2,0),"")</f>
        <v>Elektrické instalace</v>
      </c>
    </row>
    <row r="606" spans="13:26">
      <c r="M606" s="289">
        <f>IF(ISNUMBER(SEARCH(ZAKL_DATA!$B$29,N606)),MAX($M$2:M605)+1,0)</f>
        <v>604</v>
      </c>
      <c r="N606" s="290" t="s">
        <v>2581</v>
      </c>
      <c r="O606" s="305" t="s">
        <v>2582</v>
      </c>
      <c r="Q606" s="292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0" t="s">
        <v>2581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0" t="s">
        <v>2581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0" t="s">
        <v>2581</v>
      </c>
      <c r="Z606" t="str">
        <f>IFERROR(VLOOKUP(ROWS($Z$3:Z606),$X$3:$Y$992,2,0),"")</f>
        <v>Instalace vody, odpadu, plynu, topení a klimatizace</v>
      </c>
    </row>
    <row r="607" spans="13:26">
      <c r="M607" s="289">
        <f>IF(ISNUMBER(SEARCH(ZAKL_DATA!$B$29,N607)),MAX($M$2:M606)+1,0)</f>
        <v>605</v>
      </c>
      <c r="N607" s="290" t="s">
        <v>2583</v>
      </c>
      <c r="O607" s="305" t="s">
        <v>2584</v>
      </c>
      <c r="Q607" s="292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0" t="s">
        <v>2583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0" t="s">
        <v>2583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0" t="s">
        <v>2583</v>
      </c>
      <c r="Z607" t="str">
        <f>IFERROR(VLOOKUP(ROWS($Z$3:Z607),$X$3:$Y$992,2,0),"")</f>
        <v>Ostatní stavební instalace</v>
      </c>
    </row>
    <row r="608" spans="13:26">
      <c r="M608" s="289">
        <f>IF(ISNUMBER(SEARCH(ZAKL_DATA!$B$29,N608)),MAX($M$2:M607)+1,0)</f>
        <v>606</v>
      </c>
      <c r="N608" s="290" t="s">
        <v>2585</v>
      </c>
      <c r="O608" s="305" t="s">
        <v>2586</v>
      </c>
      <c r="Q608" s="292" t="str">
        <f>IFERROR(VLOOKUP(ROWS($Q$3:Q608),$M$3:$N$992,2,0),"")</f>
        <v>Omítkářské práce</v>
      </c>
      <c r="R608">
        <f>IF(ISNUMBER(SEARCH('1Př1'!$A$32,N608)),MAX($M$2:M607)+1,0)</f>
        <v>606</v>
      </c>
      <c r="S608" s="290" t="s">
        <v>2585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0" t="s">
        <v>2585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0" t="s">
        <v>2585</v>
      </c>
      <c r="Z608" t="str">
        <f>IFERROR(VLOOKUP(ROWS($Z$3:Z608),$X$3:$Y$992,2,0),"")</f>
        <v>Omítkářské práce</v>
      </c>
    </row>
    <row r="609" spans="13:26">
      <c r="M609" s="289">
        <f>IF(ISNUMBER(SEARCH(ZAKL_DATA!$B$29,N609)),MAX($M$2:M608)+1,0)</f>
        <v>607</v>
      </c>
      <c r="N609" s="290" t="s">
        <v>2587</v>
      </c>
      <c r="O609" s="305" t="s">
        <v>2588</v>
      </c>
      <c r="Q609" s="292" t="str">
        <f>IFERROR(VLOOKUP(ROWS($Q$3:Q609),$M$3:$N$992,2,0),"")</f>
        <v>Truhlářské práce</v>
      </c>
      <c r="R609">
        <f>IF(ISNUMBER(SEARCH('1Př1'!$A$32,N609)),MAX($M$2:M608)+1,0)</f>
        <v>607</v>
      </c>
      <c r="S609" s="290" t="s">
        <v>2587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0" t="s">
        <v>2587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0" t="s">
        <v>2587</v>
      </c>
      <c r="Z609" t="str">
        <f>IFERROR(VLOOKUP(ROWS($Z$3:Z609),$X$3:$Y$992,2,0),"")</f>
        <v>Truhlářské práce</v>
      </c>
    </row>
    <row r="610" spans="13:26">
      <c r="M610" s="289">
        <f>IF(ISNUMBER(SEARCH(ZAKL_DATA!$B$29,N610)),MAX($M$2:M609)+1,0)</f>
        <v>608</v>
      </c>
      <c r="N610" s="290" t="s">
        <v>2589</v>
      </c>
      <c r="O610" s="305" t="s">
        <v>2590</v>
      </c>
      <c r="Q610" s="292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0" t="s">
        <v>2589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0" t="s">
        <v>2589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0" t="s">
        <v>2589</v>
      </c>
      <c r="Z610" t="str">
        <f>IFERROR(VLOOKUP(ROWS($Z$3:Z610),$X$3:$Y$992,2,0),"")</f>
        <v>Obkládání stěn a pokládání podlahových krytin</v>
      </c>
    </row>
    <row r="611" spans="13:26">
      <c r="M611" s="289">
        <f>IF(ISNUMBER(SEARCH(ZAKL_DATA!$B$29,N611)),MAX($M$2:M610)+1,0)</f>
        <v>609</v>
      </c>
      <c r="N611" s="290" t="s">
        <v>2591</v>
      </c>
      <c r="O611" s="305" t="s">
        <v>2592</v>
      </c>
      <c r="Q611" s="292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0" t="s">
        <v>2591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0" t="s">
        <v>2591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0" t="s">
        <v>2591</v>
      </c>
      <c r="Z611" t="str">
        <f>IFERROR(VLOOKUP(ROWS($Z$3:Z611),$X$3:$Y$992,2,0),"")</f>
        <v>Sklenářské, malířské a natěračské práce</v>
      </c>
    </row>
    <row r="612" spans="13:26">
      <c r="M612" s="289">
        <f>IF(ISNUMBER(SEARCH(ZAKL_DATA!$B$29,N612)),MAX($M$2:M611)+1,0)</f>
        <v>610</v>
      </c>
      <c r="N612" s="290" t="s">
        <v>2593</v>
      </c>
      <c r="O612" s="305" t="s">
        <v>2594</v>
      </c>
      <c r="Q612" s="292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0" t="s">
        <v>2593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0" t="s">
        <v>2593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0" t="s">
        <v>2593</v>
      </c>
      <c r="Z612" t="str">
        <f>IFERROR(VLOOKUP(ROWS($Z$3:Z612),$X$3:$Y$992,2,0),"")</f>
        <v>Ostatní kompletační a dokončovací práce</v>
      </c>
    </row>
    <row r="613" spans="13:26">
      <c r="M613" s="289">
        <f>IF(ISNUMBER(SEARCH(ZAKL_DATA!$B$29,N613)),MAX($M$2:M612)+1,0)</f>
        <v>611</v>
      </c>
      <c r="N613" s="290" t="s">
        <v>2595</v>
      </c>
      <c r="O613" s="305" t="s">
        <v>2596</v>
      </c>
      <c r="Q613" s="292" t="str">
        <f>IFERROR(VLOOKUP(ROWS($Q$3:Q613),$M$3:$N$992,2,0),"")</f>
        <v>Pokrývačské práce</v>
      </c>
      <c r="R613">
        <f>IF(ISNUMBER(SEARCH('1Př1'!$A$32,N613)),MAX($M$2:M612)+1,0)</f>
        <v>611</v>
      </c>
      <c r="S613" s="290" t="s">
        <v>2595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0" t="s">
        <v>2595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0" t="s">
        <v>2595</v>
      </c>
      <c r="Z613" t="str">
        <f>IFERROR(VLOOKUP(ROWS($Z$3:Z613),$X$3:$Y$992,2,0),"")</f>
        <v>Pokrývačské práce</v>
      </c>
    </row>
    <row r="614" spans="13:26">
      <c r="M614" s="289">
        <f>IF(ISNUMBER(SEARCH(ZAKL_DATA!$B$29,N614)),MAX($M$2:M613)+1,0)</f>
        <v>612</v>
      </c>
      <c r="N614" s="290" t="s">
        <v>2597</v>
      </c>
      <c r="O614" s="305" t="s">
        <v>2598</v>
      </c>
      <c r="Q614" s="292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0" t="s">
        <v>2597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0" t="s">
        <v>2597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0" t="s">
        <v>2597</v>
      </c>
      <c r="Z614" t="str">
        <f>IFERROR(VLOOKUP(ROWS($Z$3:Z614),$X$3:$Y$992,2,0),"")</f>
        <v>Ostatní specializované stavební činnosti j. n.</v>
      </c>
    </row>
    <row r="615" spans="13:26">
      <c r="M615" s="289">
        <f>IF(ISNUMBER(SEARCH(ZAKL_DATA!$B$29,N615)),MAX($M$2:M614)+1,0)</f>
        <v>613</v>
      </c>
      <c r="N615" s="290" t="s">
        <v>2599</v>
      </c>
      <c r="O615" s="305" t="s">
        <v>2600</v>
      </c>
      <c r="Q615" s="292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0" t="s">
        <v>2599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0" t="s">
        <v>2599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0" t="s">
        <v>2599</v>
      </c>
      <c r="Z615" t="str">
        <f>IFERROR(VLOOKUP(ROWS($Z$3:Z615),$X$3:$Y$992,2,0),"")</f>
        <v>Obchod s automobily a jinými lehkými motorovými vozidly</v>
      </c>
    </row>
    <row r="616" spans="13:26">
      <c r="M616" s="289">
        <f>IF(ISNUMBER(SEARCH(ZAKL_DATA!$B$29,N616)),MAX($M$2:M615)+1,0)</f>
        <v>614</v>
      </c>
      <c r="N616" s="290" t="s">
        <v>2601</v>
      </c>
      <c r="O616" s="305" t="s">
        <v>2602</v>
      </c>
      <c r="Q616" s="292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0" t="s">
        <v>2601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0" t="s">
        <v>2601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0" t="s">
        <v>2601</v>
      </c>
      <c r="Z616" t="str">
        <f>IFERROR(VLOOKUP(ROWS($Z$3:Z616),$X$3:$Y$992,2,0),"")</f>
        <v>Obchod s ostatními motorovými vozidly, kromě motocyklů</v>
      </c>
    </row>
    <row r="617" spans="13:26">
      <c r="M617" s="289">
        <f>IF(ISNUMBER(SEARCH(ZAKL_DATA!$B$29,N617)),MAX($M$2:M616)+1,0)</f>
        <v>615</v>
      </c>
      <c r="N617" s="290" t="s">
        <v>2603</v>
      </c>
      <c r="O617" s="305" t="s">
        <v>2604</v>
      </c>
      <c r="Q617" s="292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0" t="s">
        <v>2603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0" t="s">
        <v>2603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0" t="s">
        <v>2603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89">
        <f>IF(ISNUMBER(SEARCH(ZAKL_DATA!$B$29,N618)),MAX($M$2:M617)+1,0)</f>
        <v>616</v>
      </c>
      <c r="N618" s="290" t="s">
        <v>2605</v>
      </c>
      <c r="O618" s="305" t="s">
        <v>2606</v>
      </c>
      <c r="Q618" s="292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0" t="s">
        <v>2605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0" t="s">
        <v>2605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0" t="s">
        <v>2605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89">
        <f>IF(ISNUMBER(SEARCH(ZAKL_DATA!$B$29,N619)),MAX($M$2:M618)+1,0)</f>
        <v>617</v>
      </c>
      <c r="N619" s="290" t="s">
        <v>2607</v>
      </c>
      <c r="O619" s="305" t="s">
        <v>2608</v>
      </c>
      <c r="Q619" s="292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0" t="s">
        <v>2607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0" t="s">
        <v>2607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0" t="s">
        <v>2607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89">
        <f>IF(ISNUMBER(SEARCH(ZAKL_DATA!$B$29,N620)),MAX($M$2:M619)+1,0)</f>
        <v>618</v>
      </c>
      <c r="N620" s="290" t="s">
        <v>2609</v>
      </c>
      <c r="O620" s="305" t="s">
        <v>2610</v>
      </c>
      <c r="Q620" s="292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0" t="s">
        <v>2609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0" t="s">
        <v>2609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0" t="s">
        <v>2609</v>
      </c>
      <c r="Z620" t="str">
        <f>IFERROR(VLOOKUP(ROWS($Z$3:Z620),$X$3:$Y$992,2,0),"")</f>
        <v>Zprostř.velkoob.a velkoob.v zast.s palivy,rudami,kovy a prům.chemikáliemi</v>
      </c>
    </row>
    <row r="621" spans="13:26">
      <c r="M621" s="289">
        <f>IF(ISNUMBER(SEARCH(ZAKL_DATA!$B$29,N621)),MAX($M$2:M620)+1,0)</f>
        <v>619</v>
      </c>
      <c r="N621" s="290" t="s">
        <v>2611</v>
      </c>
      <c r="O621" s="305" t="s">
        <v>2612</v>
      </c>
      <c r="Q621" s="292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0" t="s">
        <v>2611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0" t="s">
        <v>2611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0" t="s">
        <v>2611</v>
      </c>
      <c r="Z621" t="str">
        <f>IFERROR(VLOOKUP(ROWS($Z$3:Z621),$X$3:$Y$992,2,0),"")</f>
        <v>Zprostř.velkoobchodu a velkoobchod v zast.se dřevem a staveb.materiály</v>
      </c>
    </row>
    <row r="622" spans="13:26">
      <c r="M622" s="289">
        <f>IF(ISNUMBER(SEARCH(ZAKL_DATA!$B$29,N622)),MAX($M$2:M621)+1,0)</f>
        <v>620</v>
      </c>
      <c r="N622" s="290" t="s">
        <v>2613</v>
      </c>
      <c r="O622" s="305" t="s">
        <v>2614</v>
      </c>
      <c r="Q622" s="292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0" t="s">
        <v>2613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0" t="s">
        <v>2613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0" t="s">
        <v>2613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89">
        <f>IF(ISNUMBER(SEARCH(ZAKL_DATA!$B$29,N623)),MAX($M$2:M622)+1,0)</f>
        <v>621</v>
      </c>
      <c r="N623" s="290" t="s">
        <v>2615</v>
      </c>
      <c r="O623" s="305" t="s">
        <v>2616</v>
      </c>
      <c r="Q623" s="292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0" t="s">
        <v>2615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0" t="s">
        <v>2615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0" t="s">
        <v>2615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89">
        <f>IF(ISNUMBER(SEARCH(ZAKL_DATA!$B$29,N624)),MAX($M$2:M623)+1,0)</f>
        <v>622</v>
      </c>
      <c r="N624" s="290" t="s">
        <v>2617</v>
      </c>
      <c r="O624" s="305" t="s">
        <v>2618</v>
      </c>
      <c r="Q624" s="292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0" t="s">
        <v>2617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0" t="s">
        <v>2617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0" t="s">
        <v>2617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89">
        <f>IF(ISNUMBER(SEARCH(ZAKL_DATA!$B$29,N625)),MAX($M$2:M624)+1,0)</f>
        <v>623</v>
      </c>
      <c r="N625" s="290" t="s">
        <v>2619</v>
      </c>
      <c r="O625" s="305" t="s">
        <v>2620</v>
      </c>
      <c r="Q625" s="292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0" t="s">
        <v>2619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0" t="s">
        <v>2619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0" t="s">
        <v>2619</v>
      </c>
      <c r="Z625" t="str">
        <f>IFERROR(VLOOKUP(ROWS($Z$3:Z625),$X$3:$Y$992,2,0),"")</f>
        <v>Zprostř.velkoob.a velkoob.v zast.s potr.,nápoji,tabákem a tabák.výrobky</v>
      </c>
    </row>
    <row r="626" spans="13:26">
      <c r="M626" s="289">
        <f>IF(ISNUMBER(SEARCH(ZAKL_DATA!$B$29,N626)),MAX($M$2:M625)+1,0)</f>
        <v>624</v>
      </c>
      <c r="N626" s="290" t="s">
        <v>2621</v>
      </c>
      <c r="O626" s="305" t="s">
        <v>2622</v>
      </c>
      <c r="Q626" s="292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0" t="s">
        <v>2621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0" t="s">
        <v>2621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0" t="s">
        <v>2621</v>
      </c>
      <c r="Z626" t="str">
        <f>IFERROR(VLOOKUP(ROWS($Z$3:Z626),$X$3:$Y$992,2,0),"")</f>
        <v>Zprostř.specializ.velkoob.a specializ.velkoob.v zast.s ost.výrobky</v>
      </c>
    </row>
    <row r="627" spans="13:26">
      <c r="M627" s="289">
        <f>IF(ISNUMBER(SEARCH(ZAKL_DATA!$B$29,N627)),MAX($M$2:M626)+1,0)</f>
        <v>625</v>
      </c>
      <c r="N627" s="290" t="s">
        <v>2623</v>
      </c>
      <c r="O627" s="305" t="s">
        <v>2624</v>
      </c>
      <c r="Q627" s="292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0" t="s">
        <v>2623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0" t="s">
        <v>2623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0" t="s">
        <v>2623</v>
      </c>
      <c r="Z627" t="str">
        <f>IFERROR(VLOOKUP(ROWS($Z$3:Z627),$X$3:$Y$992,2,0),"")</f>
        <v>Zprostř.nespecializ.velkoobchodu a nespecializ.velkoobchod v zast.</v>
      </c>
    </row>
    <row r="628" spans="13:26">
      <c r="M628" s="289">
        <f>IF(ISNUMBER(SEARCH(ZAKL_DATA!$B$29,N628)),MAX($M$2:M627)+1,0)</f>
        <v>626</v>
      </c>
      <c r="N628" s="290" t="s">
        <v>2625</v>
      </c>
      <c r="O628" s="305" t="s">
        <v>2626</v>
      </c>
      <c r="Q628" s="292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0" t="s">
        <v>2625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0" t="s">
        <v>2625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0" t="s">
        <v>2625</v>
      </c>
      <c r="Z628" t="str">
        <f>IFERROR(VLOOKUP(ROWS($Z$3:Z628),$X$3:$Y$992,2,0),"")</f>
        <v>Velkoobchod s obilím, surovým tabákem, osivy a krmivy</v>
      </c>
    </row>
    <row r="629" spans="13:26">
      <c r="M629" s="289">
        <f>IF(ISNUMBER(SEARCH(ZAKL_DATA!$B$29,N629)),MAX($M$2:M628)+1,0)</f>
        <v>627</v>
      </c>
      <c r="N629" s="290" t="s">
        <v>2627</v>
      </c>
      <c r="O629" s="305" t="s">
        <v>2628</v>
      </c>
      <c r="Q629" s="292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0" t="s">
        <v>2627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0" t="s">
        <v>2627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0" t="s">
        <v>2627</v>
      </c>
      <c r="Z629" t="str">
        <f>IFERROR(VLOOKUP(ROWS($Z$3:Z629),$X$3:$Y$992,2,0),"")</f>
        <v>Velkoobchod s květinami a jinými rostlinami</v>
      </c>
    </row>
    <row r="630" spans="13:26">
      <c r="M630" s="289">
        <f>IF(ISNUMBER(SEARCH(ZAKL_DATA!$B$29,N630)),MAX($M$2:M629)+1,0)</f>
        <v>628</v>
      </c>
      <c r="N630" s="290" t="s">
        <v>2629</v>
      </c>
      <c r="O630" s="305" t="s">
        <v>2630</v>
      </c>
      <c r="Q630" s="292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0" t="s">
        <v>2629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0" t="s">
        <v>2629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0" t="s">
        <v>2629</v>
      </c>
      <c r="Z630" t="str">
        <f>IFERROR(VLOOKUP(ROWS($Z$3:Z630),$X$3:$Y$992,2,0),"")</f>
        <v>Velkoobchod s živými zvířaty</v>
      </c>
    </row>
    <row r="631" spans="13:26">
      <c r="M631" s="289">
        <f>IF(ISNUMBER(SEARCH(ZAKL_DATA!$B$29,N631)),MAX($M$2:M630)+1,0)</f>
        <v>629</v>
      </c>
      <c r="N631" s="290" t="s">
        <v>2631</v>
      </c>
      <c r="O631" s="305" t="s">
        <v>2632</v>
      </c>
      <c r="Q631" s="292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0" t="s">
        <v>2631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0" t="s">
        <v>2631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0" t="s">
        <v>2631</v>
      </c>
      <c r="Z631" t="str">
        <f>IFERROR(VLOOKUP(ROWS($Z$3:Z631),$X$3:$Y$992,2,0),"")</f>
        <v>Velkoobchod se surovými kůžemi, kožešinami a usněmi</v>
      </c>
    </row>
    <row r="632" spans="13:26">
      <c r="M632" s="289">
        <f>IF(ISNUMBER(SEARCH(ZAKL_DATA!$B$29,N632)),MAX($M$2:M631)+1,0)</f>
        <v>630</v>
      </c>
      <c r="N632" s="290" t="s">
        <v>2633</v>
      </c>
      <c r="O632" s="305" t="s">
        <v>2634</v>
      </c>
      <c r="Q632" s="292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0" t="s">
        <v>2633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0" t="s">
        <v>2633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0" t="s">
        <v>2633</v>
      </c>
      <c r="Z632" t="str">
        <f>IFERROR(VLOOKUP(ROWS($Z$3:Z632),$X$3:$Y$992,2,0),"")</f>
        <v>Velkoobchod s ovocem a zeleninou</v>
      </c>
    </row>
    <row r="633" spans="13:26">
      <c r="M633" s="289">
        <f>IF(ISNUMBER(SEARCH(ZAKL_DATA!$B$29,N633)),MAX($M$2:M632)+1,0)</f>
        <v>631</v>
      </c>
      <c r="N633" s="290" t="s">
        <v>2635</v>
      </c>
      <c r="O633" s="305" t="s">
        <v>2636</v>
      </c>
      <c r="Q633" s="292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0" t="s">
        <v>2635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0" t="s">
        <v>2635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0" t="s">
        <v>2635</v>
      </c>
      <c r="Z633" t="str">
        <f>IFERROR(VLOOKUP(ROWS($Z$3:Z633),$X$3:$Y$992,2,0),"")</f>
        <v>Velkoobchod s masem a masnými výrobky</v>
      </c>
    </row>
    <row r="634" spans="13:26">
      <c r="M634" s="289">
        <f>IF(ISNUMBER(SEARCH(ZAKL_DATA!$B$29,N634)),MAX($M$2:M633)+1,0)</f>
        <v>632</v>
      </c>
      <c r="N634" s="290" t="s">
        <v>2637</v>
      </c>
      <c r="O634" s="305" t="s">
        <v>2638</v>
      </c>
      <c r="Q634" s="292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0" t="s">
        <v>2637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0" t="s">
        <v>2637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0" t="s">
        <v>2637</v>
      </c>
      <c r="Z634" t="str">
        <f>IFERROR(VLOOKUP(ROWS($Z$3:Z634),$X$3:$Y$992,2,0),"")</f>
        <v>Velkoobchod s mléčnými výrobky, vejci, jedlými oleji a tuky</v>
      </c>
    </row>
    <row r="635" spans="13:26">
      <c r="M635" s="289">
        <f>IF(ISNUMBER(SEARCH(ZAKL_DATA!$B$29,N635)),MAX($M$2:M634)+1,0)</f>
        <v>633</v>
      </c>
      <c r="N635" s="290" t="s">
        <v>2639</v>
      </c>
      <c r="O635" s="305" t="s">
        <v>2640</v>
      </c>
      <c r="Q635" s="292" t="str">
        <f>IFERROR(VLOOKUP(ROWS($Q$3:Q635),$M$3:$N$992,2,0),"")</f>
        <v>Velkoobchod s nápoji</v>
      </c>
      <c r="R635">
        <f>IF(ISNUMBER(SEARCH('1Př1'!$A$32,N635)),MAX($M$2:M634)+1,0)</f>
        <v>633</v>
      </c>
      <c r="S635" s="290" t="s">
        <v>2639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0" t="s">
        <v>2639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0" t="s">
        <v>2639</v>
      </c>
      <c r="Z635" t="str">
        <f>IFERROR(VLOOKUP(ROWS($Z$3:Z635),$X$3:$Y$992,2,0),"")</f>
        <v>Velkoobchod s nápoji</v>
      </c>
    </row>
    <row r="636" spans="13:26">
      <c r="M636" s="289">
        <f>IF(ISNUMBER(SEARCH(ZAKL_DATA!$B$29,N636)),MAX($M$2:M635)+1,0)</f>
        <v>634</v>
      </c>
      <c r="N636" s="290" t="s">
        <v>2641</v>
      </c>
      <c r="O636" s="305" t="s">
        <v>2642</v>
      </c>
      <c r="Q636" s="292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0" t="s">
        <v>2641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0" t="s">
        <v>2641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0" t="s">
        <v>2641</v>
      </c>
      <c r="Z636" t="str">
        <f>IFERROR(VLOOKUP(ROWS($Z$3:Z636),$X$3:$Y$992,2,0),"")</f>
        <v>Velkoobchod s tabákovými výrobky</v>
      </c>
    </row>
    <row r="637" spans="13:26">
      <c r="M637" s="289">
        <f>IF(ISNUMBER(SEARCH(ZAKL_DATA!$B$29,N637)),MAX($M$2:M636)+1,0)</f>
        <v>635</v>
      </c>
      <c r="N637" s="290" t="s">
        <v>2643</v>
      </c>
      <c r="O637" s="305" t="s">
        <v>2644</v>
      </c>
      <c r="Q637" s="292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0" t="s">
        <v>2643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0" t="s">
        <v>2643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0" t="s">
        <v>2643</v>
      </c>
      <c r="Z637" t="str">
        <f>IFERROR(VLOOKUP(ROWS($Z$3:Z637),$X$3:$Y$992,2,0),"")</f>
        <v>Velkoobchod s cukrem, čokoládou a cukrovinkami</v>
      </c>
    </row>
    <row r="638" spans="13:26">
      <c r="M638" s="289">
        <f>IF(ISNUMBER(SEARCH(ZAKL_DATA!$B$29,N638)),MAX($M$2:M637)+1,0)</f>
        <v>636</v>
      </c>
      <c r="N638" s="290" t="s">
        <v>2645</v>
      </c>
      <c r="O638" s="305" t="s">
        <v>2646</v>
      </c>
      <c r="Q638" s="292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0" t="s">
        <v>2645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0" t="s">
        <v>2645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0" t="s">
        <v>2645</v>
      </c>
      <c r="Z638" t="str">
        <f>IFERROR(VLOOKUP(ROWS($Z$3:Z638),$X$3:$Y$992,2,0),"")</f>
        <v>Velkoobchod s kávou, čajem, kakaem a kořením</v>
      </c>
    </row>
    <row r="639" spans="13:26">
      <c r="M639" s="289">
        <f>IF(ISNUMBER(SEARCH(ZAKL_DATA!$B$29,N639)),MAX($M$2:M638)+1,0)</f>
        <v>637</v>
      </c>
      <c r="N639" s="290" t="s">
        <v>2647</v>
      </c>
      <c r="O639" s="305" t="s">
        <v>2648</v>
      </c>
      <c r="Q639" s="292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0" t="s">
        <v>2647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0" t="s">
        <v>2647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0" t="s">
        <v>2647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89">
        <f>IF(ISNUMBER(SEARCH(ZAKL_DATA!$B$29,N640)),MAX($M$2:M639)+1,0)</f>
        <v>638</v>
      </c>
      <c r="N640" s="290" t="s">
        <v>2649</v>
      </c>
      <c r="O640" s="305" t="s">
        <v>2650</v>
      </c>
      <c r="Q640" s="292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0" t="s">
        <v>2649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0" t="s">
        <v>2649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0" t="s">
        <v>2649</v>
      </c>
      <c r="Z640" t="str">
        <f>IFERROR(VLOOKUP(ROWS($Z$3:Z640),$X$3:$Y$992,2,0),"")</f>
        <v>Nespecializovaný velkoobchod s potravinami,nápoji a tabákovými výroby</v>
      </c>
    </row>
    <row r="641" spans="13:26">
      <c r="M641" s="289">
        <f>IF(ISNUMBER(SEARCH(ZAKL_DATA!$B$29,N641)),MAX($M$2:M640)+1,0)</f>
        <v>639</v>
      </c>
      <c r="N641" s="290" t="s">
        <v>2651</v>
      </c>
      <c r="O641" s="305" t="s">
        <v>2652</v>
      </c>
      <c r="Q641" s="292" t="str">
        <f>IFERROR(VLOOKUP(ROWS($Q$3:Q641),$M$3:$N$992,2,0),"")</f>
        <v>Velkoobchod s textilem</v>
      </c>
      <c r="R641">
        <f>IF(ISNUMBER(SEARCH('1Př1'!$A$32,N641)),MAX($M$2:M640)+1,0)</f>
        <v>639</v>
      </c>
      <c r="S641" s="290" t="s">
        <v>2651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0" t="s">
        <v>2651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0" t="s">
        <v>2651</v>
      </c>
      <c r="Z641" t="str">
        <f>IFERROR(VLOOKUP(ROWS($Z$3:Z641),$X$3:$Y$992,2,0),"")</f>
        <v>Velkoobchod s textilem</v>
      </c>
    </row>
    <row r="642" spans="13:26">
      <c r="M642" s="289">
        <f>IF(ISNUMBER(SEARCH(ZAKL_DATA!$B$29,N642)),MAX($M$2:M641)+1,0)</f>
        <v>640</v>
      </c>
      <c r="N642" s="290" t="s">
        <v>2653</v>
      </c>
      <c r="O642" s="305" t="s">
        <v>2654</v>
      </c>
      <c r="Q642" s="292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0" t="s">
        <v>2653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0" t="s">
        <v>2653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0" t="s">
        <v>2653</v>
      </c>
      <c r="Z642" t="str">
        <f>IFERROR(VLOOKUP(ROWS($Z$3:Z642),$X$3:$Y$992,2,0),"")</f>
        <v>Velkoobchod s oděvy a obuví</v>
      </c>
    </row>
    <row r="643" spans="13:26">
      <c r="M643" s="289">
        <f>IF(ISNUMBER(SEARCH(ZAKL_DATA!$B$29,N643)),MAX($M$2:M642)+1,0)</f>
        <v>641</v>
      </c>
      <c r="N643" s="290" t="s">
        <v>2655</v>
      </c>
      <c r="O643" s="305" t="s">
        <v>2656</v>
      </c>
      <c r="Q643" s="292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0" t="s">
        <v>2655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0" t="s">
        <v>2655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0" t="s">
        <v>2655</v>
      </c>
      <c r="Z643" t="str">
        <f>IFERROR(VLOOKUP(ROWS($Z$3:Z643),$X$3:$Y$992,2,0),"")</f>
        <v>Velkoobchod s elektrospotřebiči a elektronikou</v>
      </c>
    </row>
    <row r="644" spans="13:26">
      <c r="M644" s="289">
        <f>IF(ISNUMBER(SEARCH(ZAKL_DATA!$B$29,N644)),MAX($M$2:M643)+1,0)</f>
        <v>642</v>
      </c>
      <c r="N644" s="290" t="s">
        <v>2657</v>
      </c>
      <c r="O644" s="305" t="s">
        <v>2658</v>
      </c>
      <c r="Q644" s="292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0" t="s">
        <v>2657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0" t="s">
        <v>2657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0" t="s">
        <v>2657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89">
        <f>IF(ISNUMBER(SEARCH(ZAKL_DATA!$B$29,N645)),MAX($M$2:M644)+1,0)</f>
        <v>643</v>
      </c>
      <c r="N645" s="290" t="s">
        <v>2659</v>
      </c>
      <c r="O645" s="305" t="s">
        <v>2660</v>
      </c>
      <c r="Q645" s="292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0" t="s">
        <v>2659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0" t="s">
        <v>2659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0" t="s">
        <v>2659</v>
      </c>
      <c r="Z645" t="str">
        <f>IFERROR(VLOOKUP(ROWS($Z$3:Z645),$X$3:$Y$992,2,0),"")</f>
        <v>Velkoobchod s kosmetickými výrobky</v>
      </c>
    </row>
    <row r="646" spans="13:26">
      <c r="M646" s="289">
        <f>IF(ISNUMBER(SEARCH(ZAKL_DATA!$B$29,N646)),MAX($M$2:M645)+1,0)</f>
        <v>644</v>
      </c>
      <c r="N646" s="290" t="s">
        <v>2661</v>
      </c>
      <c r="O646" s="305" t="s">
        <v>2662</v>
      </c>
      <c r="Q646" s="292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0" t="s">
        <v>2661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0" t="s">
        <v>2661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0" t="s">
        <v>2661</v>
      </c>
      <c r="Z646" t="str">
        <f>IFERROR(VLOOKUP(ROWS($Z$3:Z646),$X$3:$Y$992,2,0),"")</f>
        <v>Velkoobchod s farmaceutickými výrobky</v>
      </c>
    </row>
    <row r="647" spans="13:26">
      <c r="M647" s="289">
        <f>IF(ISNUMBER(SEARCH(ZAKL_DATA!$B$29,N647)),MAX($M$2:M646)+1,0)</f>
        <v>645</v>
      </c>
      <c r="N647" s="290" t="s">
        <v>2663</v>
      </c>
      <c r="O647" s="305" t="s">
        <v>2664</v>
      </c>
      <c r="Q647" s="292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0" t="s">
        <v>2663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0" t="s">
        <v>2663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0" t="s">
        <v>2663</v>
      </c>
      <c r="Z647" t="str">
        <f>IFERROR(VLOOKUP(ROWS($Z$3:Z647),$X$3:$Y$992,2,0),"")</f>
        <v>Velkoobchod s nábytkem, koberci a svítidly</v>
      </c>
    </row>
    <row r="648" spans="13:26">
      <c r="M648" s="289">
        <f>IF(ISNUMBER(SEARCH(ZAKL_DATA!$B$29,N648)),MAX($M$2:M647)+1,0)</f>
        <v>646</v>
      </c>
      <c r="N648" s="290" t="s">
        <v>2665</v>
      </c>
      <c r="O648" s="305" t="s">
        <v>2666</v>
      </c>
      <c r="Q648" s="292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0" t="s">
        <v>2665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0" t="s">
        <v>2665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0" t="s">
        <v>2665</v>
      </c>
      <c r="Z648" t="str">
        <f>IFERROR(VLOOKUP(ROWS($Z$3:Z648),$X$3:$Y$992,2,0),"")</f>
        <v>Velkoobchod s hodinami, hodinkami a klenoty</v>
      </c>
    </row>
    <row r="649" spans="13:26">
      <c r="M649" s="289">
        <f>IF(ISNUMBER(SEARCH(ZAKL_DATA!$B$29,N649)),MAX($M$2:M648)+1,0)</f>
        <v>647</v>
      </c>
      <c r="N649" s="290" t="s">
        <v>2667</v>
      </c>
      <c r="O649" s="305" t="s">
        <v>2668</v>
      </c>
      <c r="Q649" s="292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0" t="s">
        <v>2667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0" t="s">
        <v>2667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0" t="s">
        <v>2667</v>
      </c>
      <c r="Z649" t="str">
        <f>IFERROR(VLOOKUP(ROWS($Z$3:Z649),$X$3:$Y$992,2,0),"")</f>
        <v>Velkoobchod s ostatními výrobky převážně pro domácnost</v>
      </c>
    </row>
    <row r="650" spans="13:26">
      <c r="M650" s="289">
        <f>IF(ISNUMBER(SEARCH(ZAKL_DATA!$B$29,N650)),MAX($M$2:M649)+1,0)</f>
        <v>648</v>
      </c>
      <c r="N650" s="290" t="s">
        <v>2669</v>
      </c>
      <c r="O650" s="305" t="s">
        <v>2670</v>
      </c>
      <c r="Q650" s="292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0" t="s">
        <v>2669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0" t="s">
        <v>2669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0" t="s">
        <v>2669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89">
        <f>IF(ISNUMBER(SEARCH(ZAKL_DATA!$B$29,N651)),MAX($M$2:M650)+1,0)</f>
        <v>649</v>
      </c>
      <c r="N651" s="290" t="s">
        <v>2671</v>
      </c>
      <c r="O651" s="305" t="s">
        <v>2672</v>
      </c>
      <c r="Q651" s="292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0" t="s">
        <v>2671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0" t="s">
        <v>2671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0" t="s">
        <v>2671</v>
      </c>
      <c r="Z651" t="str">
        <f>IFERROR(VLOOKUP(ROWS($Z$3:Z651),$X$3:$Y$992,2,0),"")</f>
        <v>Velkoobchod s elektronickým a telekomunikačním zařízením a jeho díly</v>
      </c>
    </row>
    <row r="652" spans="13:26">
      <c r="M652" s="289">
        <f>IF(ISNUMBER(SEARCH(ZAKL_DATA!$B$29,N652)),MAX($M$2:M651)+1,0)</f>
        <v>650</v>
      </c>
      <c r="N652" s="290" t="s">
        <v>2673</v>
      </c>
      <c r="O652" s="305" t="s">
        <v>2674</v>
      </c>
      <c r="Q652" s="292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0" t="s">
        <v>2673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0" t="s">
        <v>2673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0" t="s">
        <v>2673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89">
        <f>IF(ISNUMBER(SEARCH(ZAKL_DATA!$B$29,N653)),MAX($M$2:M652)+1,0)</f>
        <v>651</v>
      </c>
      <c r="N653" s="290" t="s">
        <v>2675</v>
      </c>
      <c r="O653" s="305" t="s">
        <v>2676</v>
      </c>
      <c r="Q653" s="292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0" t="s">
        <v>2675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0" t="s">
        <v>2675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0" t="s">
        <v>2675</v>
      </c>
      <c r="Z653" t="str">
        <f>IFERROR(VLOOKUP(ROWS($Z$3:Z653),$X$3:$Y$992,2,0),"")</f>
        <v>Velkoobchod s obráběcími stroji</v>
      </c>
    </row>
    <row r="654" spans="13:26">
      <c r="M654" s="289">
        <f>IF(ISNUMBER(SEARCH(ZAKL_DATA!$B$29,N654)),MAX($M$2:M653)+1,0)</f>
        <v>652</v>
      </c>
      <c r="N654" s="290" t="s">
        <v>2677</v>
      </c>
      <c r="O654" s="305" t="s">
        <v>2678</v>
      </c>
      <c r="Q654" s="292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0" t="s">
        <v>2677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0" t="s">
        <v>2677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0" t="s">
        <v>2677</v>
      </c>
      <c r="Z654" t="str">
        <f>IFERROR(VLOOKUP(ROWS($Z$3:Z654),$X$3:$Y$992,2,0),"")</f>
        <v>Velkoobchod s těžebními a stavebními stroji a zařízením</v>
      </c>
    </row>
    <row r="655" spans="13:26">
      <c r="M655" s="289">
        <f>IF(ISNUMBER(SEARCH(ZAKL_DATA!$B$29,N655)),MAX($M$2:M654)+1,0)</f>
        <v>653</v>
      </c>
      <c r="N655" s="290" t="s">
        <v>2679</v>
      </c>
      <c r="O655" s="305" t="s">
        <v>2680</v>
      </c>
      <c r="Q655" s="292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0" t="s">
        <v>2679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0" t="s">
        <v>2679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0" t="s">
        <v>2679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89">
        <f>IF(ISNUMBER(SEARCH(ZAKL_DATA!$B$29,N656)),MAX($M$2:M655)+1,0)</f>
        <v>654</v>
      </c>
      <c r="N656" s="290" t="s">
        <v>2681</v>
      </c>
      <c r="O656" s="305" t="s">
        <v>2682</v>
      </c>
      <c r="Q656" s="292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0" t="s">
        <v>2681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0" t="s">
        <v>2681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0" t="s">
        <v>2681</v>
      </c>
      <c r="Z656" t="str">
        <f>IFERROR(VLOOKUP(ROWS($Z$3:Z656),$X$3:$Y$992,2,0),"")</f>
        <v>Velkoobchod s kancelářským nábytkem</v>
      </c>
    </row>
    <row r="657" spans="13:26">
      <c r="M657" s="289">
        <f>IF(ISNUMBER(SEARCH(ZAKL_DATA!$B$29,N657)),MAX($M$2:M656)+1,0)</f>
        <v>655</v>
      </c>
      <c r="N657" s="290" t="s">
        <v>2683</v>
      </c>
      <c r="O657" s="305" t="s">
        <v>2684</v>
      </c>
      <c r="Q657" s="292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0" t="s">
        <v>2683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0" t="s">
        <v>2683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0" t="s">
        <v>2683</v>
      </c>
      <c r="Z657" t="str">
        <f>IFERROR(VLOOKUP(ROWS($Z$3:Z657),$X$3:$Y$992,2,0),"")</f>
        <v>Velkoobchod s ostatními kancelářskými stroji a zařízením</v>
      </c>
    </row>
    <row r="658" spans="13:26">
      <c r="M658" s="289">
        <f>IF(ISNUMBER(SEARCH(ZAKL_DATA!$B$29,N658)),MAX($M$2:M657)+1,0)</f>
        <v>656</v>
      </c>
      <c r="N658" s="290" t="s">
        <v>2685</v>
      </c>
      <c r="O658" s="305" t="s">
        <v>2686</v>
      </c>
      <c r="Q658" s="292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0" t="s">
        <v>2685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0" t="s">
        <v>2685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0" t="s">
        <v>2685</v>
      </c>
      <c r="Z658" t="str">
        <f>IFERROR(VLOOKUP(ROWS($Z$3:Z658),$X$3:$Y$992,2,0),"")</f>
        <v>Velkoobchod s ostatními stroji a zařízením</v>
      </c>
    </row>
    <row r="659" spans="13:26">
      <c r="M659" s="289">
        <f>IF(ISNUMBER(SEARCH(ZAKL_DATA!$B$29,N659)),MAX($M$2:M658)+1,0)</f>
        <v>657</v>
      </c>
      <c r="N659" s="290" t="s">
        <v>2687</v>
      </c>
      <c r="O659" s="305" t="s">
        <v>2688</v>
      </c>
      <c r="Q659" s="292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0" t="s">
        <v>2687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0" t="s">
        <v>2687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0" t="s">
        <v>2687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89">
        <f>IF(ISNUMBER(SEARCH(ZAKL_DATA!$B$29,N660)),MAX($M$2:M659)+1,0)</f>
        <v>658</v>
      </c>
      <c r="N660" s="290" t="s">
        <v>2689</v>
      </c>
      <c r="O660" s="305" t="s">
        <v>2690</v>
      </c>
      <c r="Q660" s="292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0" t="s">
        <v>2689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0" t="s">
        <v>2689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0" t="s">
        <v>2689</v>
      </c>
      <c r="Z660" t="str">
        <f>IFERROR(VLOOKUP(ROWS($Z$3:Z660),$X$3:$Y$992,2,0),"")</f>
        <v>Velkoobchod s rudami, kovy a hutními výrobky</v>
      </c>
    </row>
    <row r="661" spans="13:26">
      <c r="M661" s="289">
        <f>IF(ISNUMBER(SEARCH(ZAKL_DATA!$B$29,N661)),MAX($M$2:M660)+1,0)</f>
        <v>659</v>
      </c>
      <c r="N661" s="290" t="s">
        <v>2691</v>
      </c>
      <c r="O661" s="305" t="s">
        <v>2692</v>
      </c>
      <c r="Q661" s="292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0" t="s">
        <v>2691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0" t="s">
        <v>2691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0" t="s">
        <v>2691</v>
      </c>
      <c r="Z661" t="str">
        <f>IFERROR(VLOOKUP(ROWS($Z$3:Z661),$X$3:$Y$992,2,0),"")</f>
        <v>Velkoobchod se dřevem, stavebními materiály a sanitárním vybavením</v>
      </c>
    </row>
    <row r="662" spans="13:26">
      <c r="M662" s="289">
        <f>IF(ISNUMBER(SEARCH(ZAKL_DATA!$B$29,N662)),MAX($M$2:M661)+1,0)</f>
        <v>660</v>
      </c>
      <c r="N662" s="290" t="s">
        <v>2693</v>
      </c>
      <c r="O662" s="305" t="s">
        <v>2694</v>
      </c>
      <c r="Q662" s="292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0" t="s">
        <v>2693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0" t="s">
        <v>2693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0" t="s">
        <v>2693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89">
        <f>IF(ISNUMBER(SEARCH(ZAKL_DATA!$B$29,N663)),MAX($M$2:M662)+1,0)</f>
        <v>661</v>
      </c>
      <c r="N663" s="290" t="s">
        <v>2695</v>
      </c>
      <c r="O663" s="305" t="s">
        <v>2696</v>
      </c>
      <c r="Q663" s="292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0" t="s">
        <v>2695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0" t="s">
        <v>2695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0" t="s">
        <v>2695</v>
      </c>
      <c r="Z663" t="str">
        <f>IFERROR(VLOOKUP(ROWS($Z$3:Z663),$X$3:$Y$992,2,0),"")</f>
        <v>Velkoobchod s chemickými výrobky</v>
      </c>
    </row>
    <row r="664" spans="13:26">
      <c r="M664" s="289">
        <f>IF(ISNUMBER(SEARCH(ZAKL_DATA!$B$29,N664)),MAX($M$2:M663)+1,0)</f>
        <v>662</v>
      </c>
      <c r="N664" s="290" t="s">
        <v>2697</v>
      </c>
      <c r="O664" s="305" t="s">
        <v>2698</v>
      </c>
      <c r="Q664" s="292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0" t="s">
        <v>2697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0" t="s">
        <v>2697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0" t="s">
        <v>2697</v>
      </c>
      <c r="Z664" t="str">
        <f>IFERROR(VLOOKUP(ROWS($Z$3:Z664),$X$3:$Y$992,2,0),"")</f>
        <v>Velkoobchod s ostatními meziprodukty</v>
      </c>
    </row>
    <row r="665" spans="13:26">
      <c r="M665" s="289">
        <f>IF(ISNUMBER(SEARCH(ZAKL_DATA!$B$29,N665)),MAX($M$2:M664)+1,0)</f>
        <v>663</v>
      </c>
      <c r="N665" s="290" t="s">
        <v>2699</v>
      </c>
      <c r="O665" s="305" t="s">
        <v>2700</v>
      </c>
      <c r="Q665" s="292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0" t="s">
        <v>2699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0" t="s">
        <v>2699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0" t="s">
        <v>2699</v>
      </c>
      <c r="Z665" t="str">
        <f>IFERROR(VLOOKUP(ROWS($Z$3:Z665),$X$3:$Y$992,2,0),"")</f>
        <v>Velkoobchod s odpadem a šrotem</v>
      </c>
    </row>
    <row r="666" spans="13:26">
      <c r="M666" s="289">
        <f>IF(ISNUMBER(SEARCH(ZAKL_DATA!$B$29,N666)),MAX($M$2:M665)+1,0)</f>
        <v>664</v>
      </c>
      <c r="N666" s="290" t="s">
        <v>2701</v>
      </c>
      <c r="O666" s="305" t="s">
        <v>2702</v>
      </c>
      <c r="Q666" s="292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0" t="s">
        <v>2701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0" t="s">
        <v>2701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0" t="s">
        <v>2701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89">
        <f>IF(ISNUMBER(SEARCH(ZAKL_DATA!$B$29,N667)),MAX($M$2:M666)+1,0)</f>
        <v>665</v>
      </c>
      <c r="N667" s="290" t="s">
        <v>2703</v>
      </c>
      <c r="O667" s="305" t="s">
        <v>2704</v>
      </c>
      <c r="Q667" s="292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0" t="s">
        <v>2703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0" t="s">
        <v>2703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0" t="s">
        <v>2703</v>
      </c>
      <c r="Z667" t="str">
        <f>IFERROR(VLOOKUP(ROWS($Z$3:Z667),$X$3:$Y$992,2,0),"")</f>
        <v>Ostatní maloobchod v nespecializovaných prodejnách</v>
      </c>
    </row>
    <row r="668" spans="13:26">
      <c r="M668" s="289">
        <f>IF(ISNUMBER(SEARCH(ZAKL_DATA!$B$29,N668)),MAX($M$2:M667)+1,0)</f>
        <v>666</v>
      </c>
      <c r="N668" s="290" t="s">
        <v>2705</v>
      </c>
      <c r="O668" s="305" t="s">
        <v>2706</v>
      </c>
      <c r="Q668" s="292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0" t="s">
        <v>2705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0" t="s">
        <v>2705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0" t="s">
        <v>2705</v>
      </c>
      <c r="Z668" t="str">
        <f>IFERROR(VLOOKUP(ROWS($Z$3:Z668),$X$3:$Y$992,2,0),"")</f>
        <v>Maloobchod s ovocem a zeleninou</v>
      </c>
    </row>
    <row r="669" spans="13:26">
      <c r="M669" s="289">
        <f>IF(ISNUMBER(SEARCH(ZAKL_DATA!$B$29,N669)),MAX($M$2:M668)+1,0)</f>
        <v>667</v>
      </c>
      <c r="N669" s="290" t="s">
        <v>2707</v>
      </c>
      <c r="O669" s="305" t="s">
        <v>2708</v>
      </c>
      <c r="Q669" s="292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0" t="s">
        <v>2707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0" t="s">
        <v>2707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0" t="s">
        <v>2707</v>
      </c>
      <c r="Z669" t="str">
        <f>IFERROR(VLOOKUP(ROWS($Z$3:Z669),$X$3:$Y$992,2,0),"")</f>
        <v>Maloobchod s masem a masnými výrobky</v>
      </c>
    </row>
    <row r="670" spans="13:26">
      <c r="M670" s="289">
        <f>IF(ISNUMBER(SEARCH(ZAKL_DATA!$B$29,N670)),MAX($M$2:M669)+1,0)</f>
        <v>668</v>
      </c>
      <c r="N670" s="290" t="s">
        <v>2709</v>
      </c>
      <c r="O670" s="305" t="s">
        <v>2710</v>
      </c>
      <c r="Q670" s="292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0" t="s">
        <v>2709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0" t="s">
        <v>2709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0" t="s">
        <v>2709</v>
      </c>
      <c r="Z670" t="str">
        <f>IFERROR(VLOOKUP(ROWS($Z$3:Z670),$X$3:$Y$992,2,0),"")</f>
        <v>Maloobchod s rybami, korýši a měkkýši</v>
      </c>
    </row>
    <row r="671" spans="13:26">
      <c r="M671" s="289">
        <f>IF(ISNUMBER(SEARCH(ZAKL_DATA!$B$29,N671)),MAX($M$2:M670)+1,0)</f>
        <v>669</v>
      </c>
      <c r="N671" s="290" t="s">
        <v>2711</v>
      </c>
      <c r="O671" s="305" t="s">
        <v>2712</v>
      </c>
      <c r="Q671" s="292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0" t="s">
        <v>2711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0" t="s">
        <v>2711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0" t="s">
        <v>2711</v>
      </c>
      <c r="Z671" t="str">
        <f>IFERROR(VLOOKUP(ROWS($Z$3:Z671),$X$3:$Y$992,2,0),"")</f>
        <v>Maloobchod s chlebem, pečivem, cukrářskými výrobky a cukrovinkami</v>
      </c>
    </row>
    <row r="672" spans="13:26">
      <c r="M672" s="289">
        <f>IF(ISNUMBER(SEARCH(ZAKL_DATA!$B$29,N672)),MAX($M$2:M671)+1,0)</f>
        <v>670</v>
      </c>
      <c r="N672" s="290" t="s">
        <v>2713</v>
      </c>
      <c r="O672" s="305" t="s">
        <v>2714</v>
      </c>
      <c r="Q672" s="292" t="str">
        <f>IFERROR(VLOOKUP(ROWS($Q$3:Q672),$M$3:$N$992,2,0),"")</f>
        <v>Maloobchod s nápoji</v>
      </c>
      <c r="R672">
        <f>IF(ISNUMBER(SEARCH('1Př1'!$A$32,N672)),MAX($M$2:M671)+1,0)</f>
        <v>670</v>
      </c>
      <c r="S672" s="290" t="s">
        <v>2713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0" t="s">
        <v>2713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0" t="s">
        <v>2713</v>
      </c>
      <c r="Z672" t="str">
        <f>IFERROR(VLOOKUP(ROWS($Z$3:Z672),$X$3:$Y$992,2,0),"")</f>
        <v>Maloobchod s nápoji</v>
      </c>
    </row>
    <row r="673" spans="13:26">
      <c r="M673" s="289">
        <f>IF(ISNUMBER(SEARCH(ZAKL_DATA!$B$29,N673)),MAX($M$2:M672)+1,0)</f>
        <v>671</v>
      </c>
      <c r="N673" s="290" t="s">
        <v>2715</v>
      </c>
      <c r="O673" s="305" t="s">
        <v>2716</v>
      </c>
      <c r="Q673" s="292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0" t="s">
        <v>2715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0" t="s">
        <v>2715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0" t="s">
        <v>2715</v>
      </c>
      <c r="Z673" t="str">
        <f>IFERROR(VLOOKUP(ROWS($Z$3:Z673),$X$3:$Y$992,2,0),"")</f>
        <v>Maloobchod s tabákovými výrobky</v>
      </c>
    </row>
    <row r="674" spans="13:26">
      <c r="M674" s="289">
        <f>IF(ISNUMBER(SEARCH(ZAKL_DATA!$B$29,N674)),MAX($M$2:M673)+1,0)</f>
        <v>672</v>
      </c>
      <c r="N674" s="290" t="s">
        <v>2717</v>
      </c>
      <c r="O674" s="305" t="s">
        <v>2718</v>
      </c>
      <c r="Q674" s="292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0" t="s">
        <v>2717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0" t="s">
        <v>2717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0" t="s">
        <v>2717</v>
      </c>
      <c r="Z674" t="str">
        <f>IFERROR(VLOOKUP(ROWS($Z$3:Z674),$X$3:$Y$992,2,0),"")</f>
        <v>Ostatní maloobchod s potravinami ve specializovaných prodejnách</v>
      </c>
    </row>
    <row r="675" spans="13:26">
      <c r="M675" s="289">
        <f>IF(ISNUMBER(SEARCH(ZAKL_DATA!$B$29,N675)),MAX($M$2:M674)+1,0)</f>
        <v>673</v>
      </c>
      <c r="N675" s="290" t="s">
        <v>2719</v>
      </c>
      <c r="O675" s="305" t="s">
        <v>2720</v>
      </c>
      <c r="Q675" s="292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0" t="s">
        <v>2719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0" t="s">
        <v>2719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0" t="s">
        <v>2719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89">
        <f>IF(ISNUMBER(SEARCH(ZAKL_DATA!$B$29,N676)),MAX($M$2:M675)+1,0)</f>
        <v>674</v>
      </c>
      <c r="N676" s="290" t="s">
        <v>2721</v>
      </c>
      <c r="O676" s="305" t="s">
        <v>2722</v>
      </c>
      <c r="Q676" s="292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0" t="s">
        <v>2721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0" t="s">
        <v>2721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0" t="s">
        <v>2721</v>
      </c>
      <c r="Z676" t="str">
        <f>IFERROR(VLOOKUP(ROWS($Z$3:Z676),$X$3:$Y$992,2,0),"")</f>
        <v>Maloobchod s telekomunikačním zařízením</v>
      </c>
    </row>
    <row r="677" spans="13:26">
      <c r="M677" s="289">
        <f>IF(ISNUMBER(SEARCH(ZAKL_DATA!$B$29,N677)),MAX($M$2:M676)+1,0)</f>
        <v>675</v>
      </c>
      <c r="N677" s="290" t="s">
        <v>2723</v>
      </c>
      <c r="O677" s="305" t="s">
        <v>2724</v>
      </c>
      <c r="Q677" s="292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0" t="s">
        <v>2723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0" t="s">
        <v>2723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0" t="s">
        <v>2723</v>
      </c>
      <c r="Z677" t="str">
        <f>IFERROR(VLOOKUP(ROWS($Z$3:Z677),$X$3:$Y$992,2,0),"")</f>
        <v>Maloobchod s audio- a videozařízením</v>
      </c>
    </row>
    <row r="678" spans="13:26">
      <c r="M678" s="289">
        <f>IF(ISNUMBER(SEARCH(ZAKL_DATA!$B$29,N678)),MAX($M$2:M677)+1,0)</f>
        <v>676</v>
      </c>
      <c r="N678" s="290" t="s">
        <v>2725</v>
      </c>
      <c r="O678" s="305" t="s">
        <v>2726</v>
      </c>
      <c r="Q678" s="292" t="str">
        <f>IFERROR(VLOOKUP(ROWS($Q$3:Q678),$M$3:$N$992,2,0),"")</f>
        <v>Maloobchod s textilem</v>
      </c>
      <c r="R678">
        <f>IF(ISNUMBER(SEARCH('1Př1'!$A$32,N678)),MAX($M$2:M677)+1,0)</f>
        <v>676</v>
      </c>
      <c r="S678" s="290" t="s">
        <v>2725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0" t="s">
        <v>2725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0" t="s">
        <v>2725</v>
      </c>
      <c r="Z678" t="str">
        <f>IFERROR(VLOOKUP(ROWS($Z$3:Z678),$X$3:$Y$992,2,0),"")</f>
        <v>Maloobchod s textilem</v>
      </c>
    </row>
    <row r="679" spans="13:26">
      <c r="M679" s="289">
        <f>IF(ISNUMBER(SEARCH(ZAKL_DATA!$B$29,N679)),MAX($M$2:M678)+1,0)</f>
        <v>677</v>
      </c>
      <c r="N679" s="290" t="s">
        <v>2727</v>
      </c>
      <c r="O679" s="305" t="s">
        <v>2728</v>
      </c>
      <c r="Q679" s="292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0" t="s">
        <v>2727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0" t="s">
        <v>2727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0" t="s">
        <v>2727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89">
        <f>IF(ISNUMBER(SEARCH(ZAKL_DATA!$B$29,N680)),MAX($M$2:M679)+1,0)</f>
        <v>678</v>
      </c>
      <c r="N680" s="290" t="s">
        <v>2729</v>
      </c>
      <c r="O680" s="305" t="s">
        <v>2730</v>
      </c>
      <c r="Q680" s="292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0" t="s">
        <v>2729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0" t="s">
        <v>2729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0" t="s">
        <v>2729</v>
      </c>
      <c r="Z680" t="str">
        <f>IFERROR(VLOOKUP(ROWS($Z$3:Z680),$X$3:$Y$992,2,0),"")</f>
        <v>Maloobchod s koberci, podlahovými krytinami a nástěnnými obklady</v>
      </c>
    </row>
    <row r="681" spans="13:26">
      <c r="M681" s="289">
        <f>IF(ISNUMBER(SEARCH(ZAKL_DATA!$B$29,N681)),MAX($M$2:M680)+1,0)</f>
        <v>679</v>
      </c>
      <c r="N681" s="290" t="s">
        <v>2731</v>
      </c>
      <c r="O681" s="305" t="s">
        <v>2732</v>
      </c>
      <c r="Q681" s="292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0" t="s">
        <v>2731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0" t="s">
        <v>2731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0" t="s">
        <v>2731</v>
      </c>
      <c r="Z681" t="str">
        <f>IFERROR(VLOOKUP(ROWS($Z$3:Z681),$X$3:$Y$992,2,0),"")</f>
        <v>Maloobchod s elektrospotřebiči a elektronikou</v>
      </c>
    </row>
    <row r="682" spans="13:26">
      <c r="M682" s="289">
        <f>IF(ISNUMBER(SEARCH(ZAKL_DATA!$B$29,N682)),MAX($M$2:M681)+1,0)</f>
        <v>680</v>
      </c>
      <c r="N682" s="290" t="s">
        <v>2733</v>
      </c>
      <c r="O682" s="305" t="s">
        <v>2734</v>
      </c>
      <c r="Q682" s="292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0" t="s">
        <v>2733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0" t="s">
        <v>2733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0" t="s">
        <v>2733</v>
      </c>
      <c r="Z682" t="str">
        <f>IFERROR(VLOOKUP(ROWS($Z$3:Z682),$X$3:$Y$992,2,0),"")</f>
        <v>Maloobchod s nábytkem,svítidly a ost.výr.přev.pro dom.ve specializ.prod.</v>
      </c>
    </row>
    <row r="683" spans="13:26">
      <c r="M683" s="289">
        <f>IF(ISNUMBER(SEARCH(ZAKL_DATA!$B$29,N683)),MAX($M$2:M682)+1,0)</f>
        <v>681</v>
      </c>
      <c r="N683" s="290" t="s">
        <v>2735</v>
      </c>
      <c r="O683" s="305" t="s">
        <v>2736</v>
      </c>
      <c r="Q683" s="292" t="str">
        <f>IFERROR(VLOOKUP(ROWS($Q$3:Q683),$M$3:$N$992,2,0),"")</f>
        <v>Maloobchod s knihami</v>
      </c>
      <c r="R683">
        <f>IF(ISNUMBER(SEARCH('1Př1'!$A$32,N683)),MAX($M$2:M682)+1,0)</f>
        <v>681</v>
      </c>
      <c r="S683" s="290" t="s">
        <v>2735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0" t="s">
        <v>2735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0" t="s">
        <v>2735</v>
      </c>
      <c r="Z683" t="str">
        <f>IFERROR(VLOOKUP(ROWS($Z$3:Z683),$X$3:$Y$992,2,0),"")</f>
        <v>Maloobchod s knihami</v>
      </c>
    </row>
    <row r="684" spans="13:26">
      <c r="M684" s="289">
        <f>IF(ISNUMBER(SEARCH(ZAKL_DATA!$B$29,N684)),MAX($M$2:M683)+1,0)</f>
        <v>682</v>
      </c>
      <c r="N684" s="290" t="s">
        <v>2737</v>
      </c>
      <c r="O684" s="305" t="s">
        <v>2738</v>
      </c>
      <c r="Q684" s="292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0" t="s">
        <v>2737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0" t="s">
        <v>2737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0" t="s">
        <v>2737</v>
      </c>
      <c r="Z684" t="str">
        <f>IFERROR(VLOOKUP(ROWS($Z$3:Z684),$X$3:$Y$992,2,0),"")</f>
        <v>Maloobchod s novinami, časopisy a papírnickým zbožím</v>
      </c>
    </row>
    <row r="685" spans="13:26">
      <c r="M685" s="289">
        <f>IF(ISNUMBER(SEARCH(ZAKL_DATA!$B$29,N685)),MAX($M$2:M684)+1,0)</f>
        <v>683</v>
      </c>
      <c r="N685" s="290" t="s">
        <v>2739</v>
      </c>
      <c r="O685" s="305" t="s">
        <v>2740</v>
      </c>
      <c r="Q685" s="292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0" t="s">
        <v>2739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0" t="s">
        <v>2739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0" t="s">
        <v>2739</v>
      </c>
      <c r="Z685" t="str">
        <f>IFERROR(VLOOKUP(ROWS($Z$3:Z685),$X$3:$Y$992,2,0),"")</f>
        <v>Maloobchod s audio- a videozáznamy</v>
      </c>
    </row>
    <row r="686" spans="13:26">
      <c r="M686" s="289">
        <f>IF(ISNUMBER(SEARCH(ZAKL_DATA!$B$29,N686)),MAX($M$2:M685)+1,0)</f>
        <v>684</v>
      </c>
      <c r="N686" s="290" t="s">
        <v>2741</v>
      </c>
      <c r="O686" s="305" t="s">
        <v>2742</v>
      </c>
      <c r="Q686" s="292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0" t="s">
        <v>2741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0" t="s">
        <v>2741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0" t="s">
        <v>2741</v>
      </c>
      <c r="Z686" t="str">
        <f>IFERROR(VLOOKUP(ROWS($Z$3:Z686),$X$3:$Y$992,2,0),"")</f>
        <v>Maloobchod se sportovním vybavením</v>
      </c>
    </row>
    <row r="687" spans="13:26">
      <c r="M687" s="289">
        <f>IF(ISNUMBER(SEARCH(ZAKL_DATA!$B$29,N687)),MAX($M$2:M686)+1,0)</f>
        <v>685</v>
      </c>
      <c r="N687" s="290" t="s">
        <v>2743</v>
      </c>
      <c r="O687" s="305" t="s">
        <v>2744</v>
      </c>
      <c r="Q687" s="292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0" t="s">
        <v>2743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0" t="s">
        <v>2743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0" t="s">
        <v>2743</v>
      </c>
      <c r="Z687" t="str">
        <f>IFERROR(VLOOKUP(ROWS($Z$3:Z687),$X$3:$Y$992,2,0),"")</f>
        <v>Maloobchod s hrami a hračkami</v>
      </c>
    </row>
    <row r="688" spans="13:26">
      <c r="M688" s="289">
        <f>IF(ISNUMBER(SEARCH(ZAKL_DATA!$B$29,N688)),MAX($M$2:M687)+1,0)</f>
        <v>686</v>
      </c>
      <c r="N688" s="290" t="s">
        <v>2745</v>
      </c>
      <c r="O688" s="305" t="s">
        <v>2746</v>
      </c>
      <c r="Q688" s="292" t="str">
        <f>IFERROR(VLOOKUP(ROWS($Q$3:Q688),$M$3:$N$992,2,0),"")</f>
        <v>Maloobchod s oděvy</v>
      </c>
      <c r="R688">
        <f>IF(ISNUMBER(SEARCH('1Př1'!$A$32,N688)),MAX($M$2:M687)+1,0)</f>
        <v>686</v>
      </c>
      <c r="S688" s="290" t="s">
        <v>2745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0" t="s">
        <v>2745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0" t="s">
        <v>2745</v>
      </c>
      <c r="Z688" t="str">
        <f>IFERROR(VLOOKUP(ROWS($Z$3:Z688),$X$3:$Y$992,2,0),"")</f>
        <v>Maloobchod s oděvy</v>
      </c>
    </row>
    <row r="689" spans="13:26">
      <c r="M689" s="289">
        <f>IF(ISNUMBER(SEARCH(ZAKL_DATA!$B$29,N689)),MAX($M$2:M688)+1,0)</f>
        <v>687</v>
      </c>
      <c r="N689" s="290" t="s">
        <v>2747</v>
      </c>
      <c r="O689" s="305" t="s">
        <v>2748</v>
      </c>
      <c r="Q689" s="292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0" t="s">
        <v>2747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0" t="s">
        <v>2747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0" t="s">
        <v>2747</v>
      </c>
      <c r="Z689" t="str">
        <f>IFERROR(VLOOKUP(ROWS($Z$3:Z689),$X$3:$Y$992,2,0),"")</f>
        <v>Maloobchod s obuví a koženými výrobky</v>
      </c>
    </row>
    <row r="690" spans="13:26">
      <c r="M690" s="289">
        <f>IF(ISNUMBER(SEARCH(ZAKL_DATA!$B$29,N690)),MAX($M$2:M689)+1,0)</f>
        <v>688</v>
      </c>
      <c r="N690" s="290" t="s">
        <v>2749</v>
      </c>
      <c r="O690" s="305" t="s">
        <v>2750</v>
      </c>
      <c r="Q690" s="292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0" t="s">
        <v>2749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0" t="s">
        <v>2749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0" t="s">
        <v>2749</v>
      </c>
      <c r="Z690" t="str">
        <f>IFERROR(VLOOKUP(ROWS($Z$3:Z690),$X$3:$Y$992,2,0),"")</f>
        <v>Maloobchod s farmaceutickými přípravky</v>
      </c>
    </row>
    <row r="691" spans="13:26">
      <c r="M691" s="289">
        <f>IF(ISNUMBER(SEARCH(ZAKL_DATA!$B$29,N691)),MAX($M$2:M690)+1,0)</f>
        <v>689</v>
      </c>
      <c r="N691" s="290" t="s">
        <v>2751</v>
      </c>
      <c r="O691" s="305" t="s">
        <v>2752</v>
      </c>
      <c r="Q691" s="292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0" t="s">
        <v>2751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0" t="s">
        <v>2751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0" t="s">
        <v>2751</v>
      </c>
      <c r="Z691" t="str">
        <f>IFERROR(VLOOKUP(ROWS($Z$3:Z691),$X$3:$Y$992,2,0),"")</f>
        <v>Maloobchod se zdravotnickými a ortopedickými výrobky</v>
      </c>
    </row>
    <row r="692" spans="13:26">
      <c r="M692" s="289">
        <f>IF(ISNUMBER(SEARCH(ZAKL_DATA!$B$29,N692)),MAX($M$2:M691)+1,0)</f>
        <v>690</v>
      </c>
      <c r="N692" s="290" t="s">
        <v>2753</v>
      </c>
      <c r="O692" s="305" t="s">
        <v>2754</v>
      </c>
      <c r="Q692" s="292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0" t="s">
        <v>2753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0" t="s">
        <v>2753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0" t="s">
        <v>2753</v>
      </c>
      <c r="Z692" t="str">
        <f>IFERROR(VLOOKUP(ROWS($Z$3:Z692),$X$3:$Y$992,2,0),"")</f>
        <v>Maloobchod s kosmetickými a toaletními výrobky</v>
      </c>
    </row>
    <row r="693" spans="13:26">
      <c r="M693" s="289">
        <f>IF(ISNUMBER(SEARCH(ZAKL_DATA!$B$29,N693)),MAX($M$2:M692)+1,0)</f>
        <v>691</v>
      </c>
      <c r="N693" s="290" t="s">
        <v>2755</v>
      </c>
      <c r="O693" s="305" t="s">
        <v>2756</v>
      </c>
      <c r="Q693" s="292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0" t="s">
        <v>2755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0" t="s">
        <v>2755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0" t="s">
        <v>2755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89">
        <f>IF(ISNUMBER(SEARCH(ZAKL_DATA!$B$29,N694)),MAX($M$2:M693)+1,0)</f>
        <v>692</v>
      </c>
      <c r="N694" s="290" t="s">
        <v>2757</v>
      </c>
      <c r="O694" s="305" t="s">
        <v>2758</v>
      </c>
      <c r="Q694" s="292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0" t="s">
        <v>2757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0" t="s">
        <v>2757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0" t="s">
        <v>2757</v>
      </c>
      <c r="Z694" t="str">
        <f>IFERROR(VLOOKUP(ROWS($Z$3:Z694),$X$3:$Y$992,2,0),"")</f>
        <v>Maloobchod s hodinami, hodinkami a klenoty</v>
      </c>
    </row>
    <row r="695" spans="13:26">
      <c r="M695" s="289">
        <f>IF(ISNUMBER(SEARCH(ZAKL_DATA!$B$29,N695)),MAX($M$2:M694)+1,0)</f>
        <v>693</v>
      </c>
      <c r="N695" s="290" t="s">
        <v>2759</v>
      </c>
      <c r="O695" s="305" t="s">
        <v>2760</v>
      </c>
      <c r="Q695" s="292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0" t="s">
        <v>2759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0" t="s">
        <v>2759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0" t="s">
        <v>2759</v>
      </c>
      <c r="Z695" t="str">
        <f>IFERROR(VLOOKUP(ROWS($Z$3:Z695),$X$3:$Y$992,2,0),"")</f>
        <v>Ostatní maloobchod s novým zbožím ve specializovaných prodejnách</v>
      </c>
    </row>
    <row r="696" spans="13:26">
      <c r="M696" s="289">
        <f>IF(ISNUMBER(SEARCH(ZAKL_DATA!$B$29,N696)),MAX($M$2:M695)+1,0)</f>
        <v>694</v>
      </c>
      <c r="N696" s="290" t="s">
        <v>2761</v>
      </c>
      <c r="O696" s="305" t="s">
        <v>2762</v>
      </c>
      <c r="Q696" s="292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0" t="s">
        <v>2761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0" t="s">
        <v>2761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0" t="s">
        <v>2761</v>
      </c>
      <c r="Z696" t="str">
        <f>IFERROR(VLOOKUP(ROWS($Z$3:Z696),$X$3:$Y$992,2,0),"")</f>
        <v>Maloobchod s použitým zbožím v prodejnách</v>
      </c>
    </row>
    <row r="697" spans="13:26">
      <c r="M697" s="289">
        <f>IF(ISNUMBER(SEARCH(ZAKL_DATA!$B$29,N697)),MAX($M$2:M696)+1,0)</f>
        <v>695</v>
      </c>
      <c r="N697" s="290" t="s">
        <v>2763</v>
      </c>
      <c r="O697" s="305" t="s">
        <v>2764</v>
      </c>
      <c r="Q697" s="292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0" t="s">
        <v>2763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0" t="s">
        <v>2763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0" t="s">
        <v>2763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89">
        <f>IF(ISNUMBER(SEARCH(ZAKL_DATA!$B$29,N698)),MAX($M$2:M697)+1,0)</f>
        <v>696</v>
      </c>
      <c r="N698" s="290" t="s">
        <v>2765</v>
      </c>
      <c r="O698" s="305" t="s">
        <v>2766</v>
      </c>
      <c r="Q698" s="292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0" t="s">
        <v>2765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0" t="s">
        <v>2765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0" t="s">
        <v>2765</v>
      </c>
      <c r="Z698" t="str">
        <f>IFERROR(VLOOKUP(ROWS($Z$3:Z698),$X$3:$Y$992,2,0),"")</f>
        <v>Maloobchod s textilem, oděvy a obuví ve stáncích a na trzích</v>
      </c>
    </row>
    <row r="699" spans="13:26">
      <c r="M699" s="289">
        <f>IF(ISNUMBER(SEARCH(ZAKL_DATA!$B$29,N699)),MAX($M$2:M698)+1,0)</f>
        <v>697</v>
      </c>
      <c r="N699" s="290" t="s">
        <v>2767</v>
      </c>
      <c r="O699" s="305" t="s">
        <v>2768</v>
      </c>
      <c r="Q699" s="292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0" t="s">
        <v>2767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0" t="s">
        <v>2767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0" t="s">
        <v>2767</v>
      </c>
      <c r="Z699" t="str">
        <f>IFERROR(VLOOKUP(ROWS($Z$3:Z699),$X$3:$Y$992,2,0),"")</f>
        <v>Maloobchod s ostatním zbožím ve stáncích a na trzích</v>
      </c>
    </row>
    <row r="700" spans="13:26">
      <c r="M700" s="289">
        <f>IF(ISNUMBER(SEARCH(ZAKL_DATA!$B$29,N700)),MAX($M$2:M699)+1,0)</f>
        <v>698</v>
      </c>
      <c r="N700" s="290" t="s">
        <v>2769</v>
      </c>
      <c r="O700" s="305" t="s">
        <v>2770</v>
      </c>
      <c r="Q700" s="292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0" t="s">
        <v>2769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0" t="s">
        <v>2769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0" t="s">
        <v>2769</v>
      </c>
      <c r="Z700" t="str">
        <f>IFERROR(VLOOKUP(ROWS($Z$3:Z700),$X$3:$Y$992,2,0),"")</f>
        <v>Maloobchod prostřednictvím internetu nebo zásilkové služby</v>
      </c>
    </row>
    <row r="701" spans="13:26">
      <c r="M701" s="289">
        <f>IF(ISNUMBER(SEARCH(ZAKL_DATA!$B$29,N701)),MAX($M$2:M700)+1,0)</f>
        <v>699</v>
      </c>
      <c r="N701" s="290" t="s">
        <v>2771</v>
      </c>
      <c r="O701" s="305" t="s">
        <v>2772</v>
      </c>
      <c r="Q701" s="292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0" t="s">
        <v>2771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0" t="s">
        <v>2771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0" t="s">
        <v>2771</v>
      </c>
      <c r="Z701" t="str">
        <f>IFERROR(VLOOKUP(ROWS($Z$3:Z701),$X$3:$Y$992,2,0),"")</f>
        <v>Ostatní maloobchod mimo prodejny, stánky a trhy</v>
      </c>
    </row>
    <row r="702" spans="13:26">
      <c r="M702" s="289">
        <f>IF(ISNUMBER(SEARCH(ZAKL_DATA!$B$29,N702)),MAX($M$2:M701)+1,0)</f>
        <v>700</v>
      </c>
      <c r="N702" s="290" t="s">
        <v>2773</v>
      </c>
      <c r="O702" s="305" t="s">
        <v>2774</v>
      </c>
      <c r="Q702" s="292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0" t="s">
        <v>2773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0" t="s">
        <v>2773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0" t="s">
        <v>2773</v>
      </c>
      <c r="Z702" t="str">
        <f>IFERROR(VLOOKUP(ROWS($Z$3:Z702),$X$3:$Y$992,2,0),"")</f>
        <v>Městská a příměstská pozemní osobní doprava</v>
      </c>
    </row>
    <row r="703" spans="13:26">
      <c r="M703" s="289">
        <f>IF(ISNUMBER(SEARCH(ZAKL_DATA!$B$29,N703)),MAX($M$2:M702)+1,0)</f>
        <v>701</v>
      </c>
      <c r="N703" s="290" t="s">
        <v>2775</v>
      </c>
      <c r="O703" s="305" t="s">
        <v>2776</v>
      </c>
      <c r="Q703" s="292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0" t="s">
        <v>2775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0" t="s">
        <v>2775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0" t="s">
        <v>2775</v>
      </c>
      <c r="Z703" t="str">
        <f>IFERROR(VLOOKUP(ROWS($Z$3:Z703),$X$3:$Y$992,2,0),"")</f>
        <v>Taxislužba a pronájem osobních vozů s řidičem</v>
      </c>
    </row>
    <row r="704" spans="13:26">
      <c r="M704" s="289">
        <f>IF(ISNUMBER(SEARCH(ZAKL_DATA!$B$29,N704)),MAX($M$2:M703)+1,0)</f>
        <v>702</v>
      </c>
      <c r="N704" s="290" t="s">
        <v>2777</v>
      </c>
      <c r="O704" s="305" t="s">
        <v>2778</v>
      </c>
      <c r="Q704" s="292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0" t="s">
        <v>2777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0" t="s">
        <v>2777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0" t="s">
        <v>2777</v>
      </c>
      <c r="Z704" t="str">
        <f>IFERROR(VLOOKUP(ROWS($Z$3:Z704),$X$3:$Y$992,2,0),"")</f>
        <v>Ostatní pozemní osobní doprava j. n.</v>
      </c>
    </row>
    <row r="705" spans="13:26">
      <c r="M705" s="289">
        <f>IF(ISNUMBER(SEARCH(ZAKL_DATA!$B$29,N705)),MAX($M$2:M704)+1,0)</f>
        <v>703</v>
      </c>
      <c r="N705" s="290" t="s">
        <v>2779</v>
      </c>
      <c r="O705" s="305" t="s">
        <v>2780</v>
      </c>
      <c r="Q705" s="292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0" t="s">
        <v>2779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0" t="s">
        <v>2779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0" t="s">
        <v>2779</v>
      </c>
      <c r="Z705" t="str">
        <f>IFERROR(VLOOKUP(ROWS($Z$3:Z705),$X$3:$Y$992,2,0),"")</f>
        <v>Silniční nákladní doprava</v>
      </c>
    </row>
    <row r="706" spans="13:26">
      <c r="M706" s="289">
        <f>IF(ISNUMBER(SEARCH(ZAKL_DATA!$B$29,N706)),MAX($M$2:M705)+1,0)</f>
        <v>704</v>
      </c>
      <c r="N706" s="290" t="s">
        <v>2781</v>
      </c>
      <c r="O706" s="305" t="s">
        <v>2782</v>
      </c>
      <c r="Q706" s="292" t="str">
        <f>IFERROR(VLOOKUP(ROWS($Q$3:Q706),$M$3:$N$992,2,0),"")</f>
        <v>Stěhovací služby</v>
      </c>
      <c r="R706">
        <f>IF(ISNUMBER(SEARCH('1Př1'!$A$32,N706)),MAX($M$2:M705)+1,0)</f>
        <v>704</v>
      </c>
      <c r="S706" s="290" t="s">
        <v>2781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0" t="s">
        <v>2781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0" t="s">
        <v>2781</v>
      </c>
      <c r="Z706" t="str">
        <f>IFERROR(VLOOKUP(ROWS($Z$3:Z706),$X$3:$Y$992,2,0),"")</f>
        <v>Stěhovací služby</v>
      </c>
    </row>
    <row r="707" spans="13:26">
      <c r="M707" s="289">
        <f>IF(ISNUMBER(SEARCH(ZAKL_DATA!$B$29,N707)),MAX($M$2:M706)+1,0)</f>
        <v>705</v>
      </c>
      <c r="N707" s="290" t="s">
        <v>2783</v>
      </c>
      <c r="O707" s="305" t="s">
        <v>2784</v>
      </c>
      <c r="Q707" s="292" t="str">
        <f>IFERROR(VLOOKUP(ROWS($Q$3:Q707),$M$3:$N$992,2,0),"")</f>
        <v>Těžba černého uhlí</v>
      </c>
      <c r="R707">
        <f>IF(ISNUMBER(SEARCH('1Př1'!$A$32,N707)),MAX($M$2:M706)+1,0)</f>
        <v>705</v>
      </c>
      <c r="S707" s="290" t="s">
        <v>2783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0" t="s">
        <v>2783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0" t="s">
        <v>2783</v>
      </c>
      <c r="Z707" t="str">
        <f>IFERROR(VLOOKUP(ROWS($Z$3:Z707),$X$3:$Y$992,2,0),"")</f>
        <v>Těžba černého uhlí</v>
      </c>
    </row>
    <row r="708" spans="13:26">
      <c r="M708" s="289">
        <f>IF(ISNUMBER(SEARCH(ZAKL_DATA!$B$29,N708)),MAX($M$2:M707)+1,0)</f>
        <v>706</v>
      </c>
      <c r="N708" s="290" t="s">
        <v>2785</v>
      </c>
      <c r="O708" s="305" t="s">
        <v>2786</v>
      </c>
      <c r="Q708" s="292" t="str">
        <f>IFERROR(VLOOKUP(ROWS($Q$3:Q708),$M$3:$N$992,2,0),"")</f>
        <v>Úprava černého uhlí</v>
      </c>
      <c r="R708">
        <f>IF(ISNUMBER(SEARCH('1Př1'!$A$32,N708)),MAX($M$2:M707)+1,0)</f>
        <v>706</v>
      </c>
      <c r="S708" s="290" t="s">
        <v>2785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0" t="s">
        <v>2785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0" t="s">
        <v>2785</v>
      </c>
      <c r="Z708" t="str">
        <f>IFERROR(VLOOKUP(ROWS($Z$3:Z708),$X$3:$Y$992,2,0),"")</f>
        <v>Úprava černého uhlí</v>
      </c>
    </row>
    <row r="709" spans="13:26">
      <c r="M709" s="289">
        <f>IF(ISNUMBER(SEARCH(ZAKL_DATA!$B$29,N709)),MAX($M$2:M708)+1,0)</f>
        <v>707</v>
      </c>
      <c r="N709" s="290" t="s">
        <v>2787</v>
      </c>
      <c r="O709" s="305" t="s">
        <v>2788</v>
      </c>
      <c r="Q709" s="292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0" t="s">
        <v>2787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0" t="s">
        <v>2787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0" t="s">
        <v>2787</v>
      </c>
      <c r="Z709" t="str">
        <f>IFERROR(VLOOKUP(ROWS($Z$3:Z709),$X$3:$Y$992,2,0),"")</f>
        <v>Letecká nákladní doprava</v>
      </c>
    </row>
    <row r="710" spans="13:26">
      <c r="M710" s="289">
        <f>IF(ISNUMBER(SEARCH(ZAKL_DATA!$B$29,N710)),MAX($M$2:M709)+1,0)</f>
        <v>708</v>
      </c>
      <c r="N710" s="290" t="s">
        <v>2789</v>
      </c>
      <c r="O710" s="305" t="s">
        <v>2790</v>
      </c>
      <c r="Q710" s="292" t="str">
        <f>IFERROR(VLOOKUP(ROWS($Q$3:Q710),$M$3:$N$992,2,0),"")</f>
        <v>Kosmická doprava</v>
      </c>
      <c r="R710">
        <f>IF(ISNUMBER(SEARCH('1Př1'!$A$32,N710)),MAX($M$2:M709)+1,0)</f>
        <v>708</v>
      </c>
      <c r="S710" s="290" t="s">
        <v>2789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0" t="s">
        <v>2789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0" t="s">
        <v>2789</v>
      </c>
      <c r="Z710" t="str">
        <f>IFERROR(VLOOKUP(ROWS($Z$3:Z710),$X$3:$Y$992,2,0),"")</f>
        <v>Kosmická doprava</v>
      </c>
    </row>
    <row r="711" spans="13:26">
      <c r="M711" s="289">
        <f>IF(ISNUMBER(SEARCH(ZAKL_DATA!$B$29,N711)),MAX($M$2:M710)+1,0)</f>
        <v>709</v>
      </c>
      <c r="N711" s="290" t="s">
        <v>2791</v>
      </c>
      <c r="O711" s="305" t="s">
        <v>2792</v>
      </c>
      <c r="Q711" s="292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0" t="s">
        <v>2791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0" t="s">
        <v>2791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0" t="s">
        <v>2791</v>
      </c>
      <c r="Z711" t="str">
        <f>IFERROR(VLOOKUP(ROWS($Z$3:Z711),$X$3:$Y$992,2,0),"")</f>
        <v>Těžba hnědého uhlí, kromě lignitu</v>
      </c>
    </row>
    <row r="712" spans="13:26">
      <c r="M712" s="289">
        <f>IF(ISNUMBER(SEARCH(ZAKL_DATA!$B$29,N712)),MAX($M$2:M711)+1,0)</f>
        <v>710</v>
      </c>
      <c r="N712" s="290" t="s">
        <v>2793</v>
      </c>
      <c r="O712" s="305" t="s">
        <v>2794</v>
      </c>
      <c r="Q712" s="292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0" t="s">
        <v>2793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0" t="s">
        <v>2793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0" t="s">
        <v>2793</v>
      </c>
      <c r="Z712" t="str">
        <f>IFERROR(VLOOKUP(ROWS($Z$3:Z712),$X$3:$Y$992,2,0),"")</f>
        <v>Úprava hnědého uhlí, kromě lignitu</v>
      </c>
    </row>
    <row r="713" spans="13:26">
      <c r="M713" s="289">
        <f>IF(ISNUMBER(SEARCH(ZAKL_DATA!$B$29,N713)),MAX($M$2:M712)+1,0)</f>
        <v>711</v>
      </c>
      <c r="N713" s="290" t="s">
        <v>2795</v>
      </c>
      <c r="O713" s="305" t="s">
        <v>2796</v>
      </c>
      <c r="Q713" s="292" t="str">
        <f>IFERROR(VLOOKUP(ROWS($Q$3:Q713),$M$3:$N$992,2,0),"")</f>
        <v>Těžba lignitu</v>
      </c>
      <c r="R713">
        <f>IF(ISNUMBER(SEARCH('1Př1'!$A$32,N713)),MAX($M$2:M712)+1,0)</f>
        <v>711</v>
      </c>
      <c r="S713" s="290" t="s">
        <v>2795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0" t="s">
        <v>2795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0" t="s">
        <v>2795</v>
      </c>
      <c r="Z713" t="str">
        <f>IFERROR(VLOOKUP(ROWS($Z$3:Z713),$X$3:$Y$992,2,0),"")</f>
        <v>Těžba lignitu</v>
      </c>
    </row>
    <row r="714" spans="13:26">
      <c r="M714" s="289">
        <f>IF(ISNUMBER(SEARCH(ZAKL_DATA!$B$29,N714)),MAX($M$2:M713)+1,0)</f>
        <v>712</v>
      </c>
      <c r="N714" s="290" t="s">
        <v>2797</v>
      </c>
      <c r="O714" s="305" t="s">
        <v>2798</v>
      </c>
      <c r="Q714" s="292" t="str">
        <f>IFERROR(VLOOKUP(ROWS($Q$3:Q714),$M$3:$N$992,2,0),"")</f>
        <v>Úprava lignitu</v>
      </c>
      <c r="R714">
        <f>IF(ISNUMBER(SEARCH('1Př1'!$A$32,N714)),MAX($M$2:M713)+1,0)</f>
        <v>712</v>
      </c>
      <c r="S714" s="290" t="s">
        <v>2797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0" t="s">
        <v>2797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0" t="s">
        <v>2797</v>
      </c>
      <c r="Z714" t="str">
        <f>IFERROR(VLOOKUP(ROWS($Z$3:Z714),$X$3:$Y$992,2,0),"")</f>
        <v>Úprava lignitu</v>
      </c>
    </row>
    <row r="715" spans="13:26">
      <c r="M715" s="289">
        <f>IF(ISNUMBER(SEARCH(ZAKL_DATA!$B$29,N715)),MAX($M$2:M714)+1,0)</f>
        <v>713</v>
      </c>
      <c r="N715" s="290" t="s">
        <v>2799</v>
      </c>
      <c r="O715" s="305" t="s">
        <v>2800</v>
      </c>
      <c r="Q715" s="292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0" t="s">
        <v>2799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0" t="s">
        <v>2799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0" t="s">
        <v>2799</v>
      </c>
      <c r="Z715" t="str">
        <f>IFERROR(VLOOKUP(ROWS($Z$3:Z715),$X$3:$Y$992,2,0),"")</f>
        <v>Činnosti související s pozemní dopravou</v>
      </c>
    </row>
    <row r="716" spans="13:26">
      <c r="M716" s="289">
        <f>IF(ISNUMBER(SEARCH(ZAKL_DATA!$B$29,N716)),MAX($M$2:M715)+1,0)</f>
        <v>714</v>
      </c>
      <c r="N716" s="290" t="s">
        <v>2801</v>
      </c>
      <c r="O716" s="305" t="s">
        <v>2802</v>
      </c>
      <c r="Q716" s="292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0" t="s">
        <v>2801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0" t="s">
        <v>2801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0" t="s">
        <v>2801</v>
      </c>
      <c r="Z716" t="str">
        <f>IFERROR(VLOOKUP(ROWS($Z$3:Z716),$X$3:$Y$992,2,0),"")</f>
        <v>Činnosti související s vodní dopravou</v>
      </c>
    </row>
    <row r="717" spans="13:26">
      <c r="M717" s="289">
        <f>IF(ISNUMBER(SEARCH(ZAKL_DATA!$B$29,N717)),MAX($M$2:M716)+1,0)</f>
        <v>715</v>
      </c>
      <c r="N717" s="290" t="s">
        <v>2803</v>
      </c>
      <c r="O717" s="305" t="s">
        <v>2804</v>
      </c>
      <c r="Q717" s="292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0" t="s">
        <v>2803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0" t="s">
        <v>2803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0" t="s">
        <v>2803</v>
      </c>
      <c r="Z717" t="str">
        <f>IFERROR(VLOOKUP(ROWS($Z$3:Z717),$X$3:$Y$992,2,0),"")</f>
        <v>Činnosti související s leteckou dopravou</v>
      </c>
    </row>
    <row r="718" spans="13:26">
      <c r="M718" s="289">
        <f>IF(ISNUMBER(SEARCH(ZAKL_DATA!$B$29,N718)),MAX($M$2:M717)+1,0)</f>
        <v>716</v>
      </c>
      <c r="N718" s="290" t="s">
        <v>2805</v>
      </c>
      <c r="O718" s="305" t="s">
        <v>2806</v>
      </c>
      <c r="Q718" s="292" t="str">
        <f>IFERROR(VLOOKUP(ROWS($Q$3:Q718),$M$3:$N$992,2,0),"")</f>
        <v>Manipulace s nákladem</v>
      </c>
      <c r="R718">
        <f>IF(ISNUMBER(SEARCH('1Př1'!$A$32,N718)),MAX($M$2:M717)+1,0)</f>
        <v>716</v>
      </c>
      <c r="S718" s="290" t="s">
        <v>2805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0" t="s">
        <v>2805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0" t="s">
        <v>2805</v>
      </c>
      <c r="Z718" t="str">
        <f>IFERROR(VLOOKUP(ROWS($Z$3:Z718),$X$3:$Y$992,2,0),"")</f>
        <v>Manipulace s nákladem</v>
      </c>
    </row>
    <row r="719" spans="13:26">
      <c r="M719" s="289">
        <f>IF(ISNUMBER(SEARCH(ZAKL_DATA!$B$29,N719)),MAX($M$2:M718)+1,0)</f>
        <v>717</v>
      </c>
      <c r="N719" s="290" t="s">
        <v>2807</v>
      </c>
      <c r="O719" s="305" t="s">
        <v>2808</v>
      </c>
      <c r="Q719" s="292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0" t="s">
        <v>2807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0" t="s">
        <v>2807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0" t="s">
        <v>2807</v>
      </c>
      <c r="Z719" t="str">
        <f>IFERROR(VLOOKUP(ROWS($Z$3:Z719),$X$3:$Y$992,2,0),"")</f>
        <v>Ostatní vedlejší činnosti v dopravě</v>
      </c>
    </row>
    <row r="720" spans="13:26">
      <c r="M720" s="289">
        <f>IF(ISNUMBER(SEARCH(ZAKL_DATA!$B$29,N720)),MAX($M$2:M719)+1,0)</f>
        <v>718</v>
      </c>
      <c r="N720" s="290" t="s">
        <v>2809</v>
      </c>
      <c r="O720" s="305" t="s">
        <v>2810</v>
      </c>
      <c r="Q720" s="292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0" t="s">
        <v>2809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0" t="s">
        <v>2809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0" t="s">
        <v>2809</v>
      </c>
      <c r="Z720" t="str">
        <f>IFERROR(VLOOKUP(ROWS($Z$3:Z720),$X$3:$Y$992,2,0),"")</f>
        <v>Poskytování cateringových služeb</v>
      </c>
    </row>
    <row r="721" spans="13:26">
      <c r="M721" s="289">
        <f>IF(ISNUMBER(SEARCH(ZAKL_DATA!$B$29,N721)),MAX($M$2:M720)+1,0)</f>
        <v>719</v>
      </c>
      <c r="N721" s="290" t="s">
        <v>2811</v>
      </c>
      <c r="O721" s="305" t="s">
        <v>2812</v>
      </c>
      <c r="Q721" s="292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0" t="s">
        <v>2811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0" t="s">
        <v>2811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0" t="s">
        <v>2811</v>
      </c>
      <c r="Z721" t="str">
        <f>IFERROR(VLOOKUP(ROWS($Z$3:Z721),$X$3:$Y$992,2,0),"")</f>
        <v>Poskytování ostatních stravovacích služeb</v>
      </c>
    </row>
    <row r="722" spans="13:26">
      <c r="M722" s="289">
        <f>IF(ISNUMBER(SEARCH(ZAKL_DATA!$B$29,N722)),MAX($M$2:M721)+1,0)</f>
        <v>720</v>
      </c>
      <c r="N722" s="290" t="s">
        <v>2813</v>
      </c>
      <c r="O722" s="305" t="s">
        <v>2814</v>
      </c>
      <c r="Q722" s="292" t="str">
        <f>IFERROR(VLOOKUP(ROWS($Q$3:Q722),$M$3:$N$992,2,0),"")</f>
        <v>Vydávání knih</v>
      </c>
      <c r="R722">
        <f>IF(ISNUMBER(SEARCH('1Př1'!$A$32,N722)),MAX($M$2:M721)+1,0)</f>
        <v>720</v>
      </c>
      <c r="S722" s="290" t="s">
        <v>2813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0" t="s">
        <v>2813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0" t="s">
        <v>2813</v>
      </c>
      <c r="Z722" t="str">
        <f>IFERROR(VLOOKUP(ROWS($Z$3:Z722),$X$3:$Y$992,2,0),"")</f>
        <v>Vydávání knih</v>
      </c>
    </row>
    <row r="723" spans="13:26">
      <c r="M723" s="289">
        <f>IF(ISNUMBER(SEARCH(ZAKL_DATA!$B$29,N723)),MAX($M$2:M722)+1,0)</f>
        <v>721</v>
      </c>
      <c r="N723" s="290" t="s">
        <v>2815</v>
      </c>
      <c r="O723" s="305" t="s">
        <v>2816</v>
      </c>
      <c r="Q723" s="292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0" t="s">
        <v>2815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0" t="s">
        <v>2815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0" t="s">
        <v>2815</v>
      </c>
      <c r="Z723" t="str">
        <f>IFERROR(VLOOKUP(ROWS($Z$3:Z723),$X$3:$Y$992,2,0),"")</f>
        <v>Vydávání adresářů a jiných seznamů</v>
      </c>
    </row>
    <row r="724" spans="13:26">
      <c r="M724" s="289">
        <f>IF(ISNUMBER(SEARCH(ZAKL_DATA!$B$29,N724)),MAX($M$2:M723)+1,0)</f>
        <v>722</v>
      </c>
      <c r="N724" s="290" t="s">
        <v>2817</v>
      </c>
      <c r="O724" s="305" t="s">
        <v>2818</v>
      </c>
      <c r="Q724" s="292" t="str">
        <f>IFERROR(VLOOKUP(ROWS($Q$3:Q724),$M$3:$N$992,2,0),"")</f>
        <v>Vydávání novin</v>
      </c>
      <c r="R724">
        <f>IF(ISNUMBER(SEARCH('1Př1'!$A$32,N724)),MAX($M$2:M723)+1,0)</f>
        <v>722</v>
      </c>
      <c r="S724" s="290" t="s">
        <v>2817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0" t="s">
        <v>2817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0" t="s">
        <v>2817</v>
      </c>
      <c r="Z724" t="str">
        <f>IFERROR(VLOOKUP(ROWS($Z$3:Z724),$X$3:$Y$992,2,0),"")</f>
        <v>Vydávání novin</v>
      </c>
    </row>
    <row r="725" spans="13:26">
      <c r="M725" s="289">
        <f>IF(ISNUMBER(SEARCH(ZAKL_DATA!$B$29,N725)),MAX($M$2:M724)+1,0)</f>
        <v>723</v>
      </c>
      <c r="N725" s="290" t="s">
        <v>2819</v>
      </c>
      <c r="O725" s="305" t="s">
        <v>2820</v>
      </c>
      <c r="Q725" s="292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0" t="s">
        <v>2819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0" t="s">
        <v>2819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0" t="s">
        <v>2819</v>
      </c>
      <c r="Z725" t="str">
        <f>IFERROR(VLOOKUP(ROWS($Z$3:Z725),$X$3:$Y$992,2,0),"")</f>
        <v>Vydávání časopisů a ostatních periodických publikací</v>
      </c>
    </row>
    <row r="726" spans="13:26">
      <c r="M726" s="289">
        <f>IF(ISNUMBER(SEARCH(ZAKL_DATA!$B$29,N726)),MAX($M$2:M725)+1,0)</f>
        <v>724</v>
      </c>
      <c r="N726" s="290" t="s">
        <v>2821</v>
      </c>
      <c r="O726" s="305" t="s">
        <v>2822</v>
      </c>
      <c r="Q726" s="292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0" t="s">
        <v>2821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0" t="s">
        <v>2821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0" t="s">
        <v>2821</v>
      </c>
      <c r="Z726" t="str">
        <f>IFERROR(VLOOKUP(ROWS($Z$3:Z726),$X$3:$Y$992,2,0),"")</f>
        <v>Ostatní vydavatelské činnosti</v>
      </c>
    </row>
    <row r="727" spans="13:26">
      <c r="M727" s="289">
        <f>IF(ISNUMBER(SEARCH(ZAKL_DATA!$B$29,N727)),MAX($M$2:M726)+1,0)</f>
        <v>725</v>
      </c>
      <c r="N727" s="290" t="s">
        <v>2823</v>
      </c>
      <c r="O727" s="305" t="s">
        <v>2824</v>
      </c>
      <c r="Q727" s="292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0" t="s">
        <v>2823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0" t="s">
        <v>2823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0" t="s">
        <v>2823</v>
      </c>
      <c r="Z727" t="str">
        <f>IFERROR(VLOOKUP(ROWS($Z$3:Z727),$X$3:$Y$992,2,0),"")</f>
        <v>Vydávání počítačových her</v>
      </c>
    </row>
    <row r="728" spans="13:26">
      <c r="M728" s="289">
        <f>IF(ISNUMBER(SEARCH(ZAKL_DATA!$B$29,N728)),MAX($M$2:M727)+1,0)</f>
        <v>726</v>
      </c>
      <c r="N728" s="290" t="s">
        <v>2825</v>
      </c>
      <c r="O728" s="305" t="s">
        <v>2826</v>
      </c>
      <c r="Q728" s="292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0" t="s">
        <v>2825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0" t="s">
        <v>2825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0" t="s">
        <v>2825</v>
      </c>
      <c r="Z728" t="str">
        <f>IFERROR(VLOOKUP(ROWS($Z$3:Z728),$X$3:$Y$992,2,0),"")</f>
        <v>Ostatní vydávání softwaru</v>
      </c>
    </row>
    <row r="729" spans="13:26">
      <c r="M729" s="289">
        <f>IF(ISNUMBER(SEARCH(ZAKL_DATA!$B$29,N729)),MAX($M$2:M728)+1,0)</f>
        <v>727</v>
      </c>
      <c r="N729" s="290" t="s">
        <v>2827</v>
      </c>
      <c r="O729" s="305" t="s">
        <v>2828</v>
      </c>
      <c r="Q729" s="292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0" t="s">
        <v>2827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0" t="s">
        <v>2827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0" t="s">
        <v>2827</v>
      </c>
      <c r="Z729" t="str">
        <f>IFERROR(VLOOKUP(ROWS($Z$3:Z729),$X$3:$Y$992,2,0),"")</f>
        <v>Produkce filmů, videozáznamů a televizních programů</v>
      </c>
    </row>
    <row r="730" spans="13:26">
      <c r="M730" s="289">
        <f>IF(ISNUMBER(SEARCH(ZAKL_DATA!$B$29,N730)),MAX($M$2:M729)+1,0)</f>
        <v>728</v>
      </c>
      <c r="N730" s="290" t="s">
        <v>2829</v>
      </c>
      <c r="O730" s="305" t="s">
        <v>2830</v>
      </c>
      <c r="Q730" s="292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0" t="s">
        <v>2829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0" t="s">
        <v>2829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0" t="s">
        <v>2829</v>
      </c>
      <c r="Z730" t="str">
        <f>IFERROR(VLOOKUP(ROWS($Z$3:Z730),$X$3:$Y$992,2,0),"")</f>
        <v>Postprodukce filmů, videozáznamů a televizních programů</v>
      </c>
    </row>
    <row r="731" spans="13:26">
      <c r="M731" s="289">
        <f>IF(ISNUMBER(SEARCH(ZAKL_DATA!$B$29,N731)),MAX($M$2:M730)+1,0)</f>
        <v>729</v>
      </c>
      <c r="N731" s="290" t="s">
        <v>2831</v>
      </c>
      <c r="O731" s="305" t="s">
        <v>2832</v>
      </c>
      <c r="Q731" s="292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0" t="s">
        <v>2831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0" t="s">
        <v>2831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0" t="s">
        <v>2831</v>
      </c>
      <c r="Z731" t="str">
        <f>IFERROR(VLOOKUP(ROWS($Z$3:Z731),$X$3:$Y$992,2,0),"")</f>
        <v>Distribuce filmů, videozáznamů a televizních programů</v>
      </c>
    </row>
    <row r="732" spans="13:26">
      <c r="M732" s="289">
        <f>IF(ISNUMBER(SEARCH(ZAKL_DATA!$B$29,N732)),MAX($M$2:M731)+1,0)</f>
        <v>730</v>
      </c>
      <c r="N732" s="290" t="s">
        <v>2833</v>
      </c>
      <c r="O732" s="305" t="s">
        <v>2834</v>
      </c>
      <c r="Q732" s="292" t="str">
        <f>IFERROR(VLOOKUP(ROWS($Q$3:Q732),$M$3:$N$992,2,0),"")</f>
        <v>Promítání filmů</v>
      </c>
      <c r="R732">
        <f>IF(ISNUMBER(SEARCH('1Př1'!$A$32,N732)),MAX($M$2:M731)+1,0)</f>
        <v>730</v>
      </c>
      <c r="S732" s="290" t="s">
        <v>2833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0" t="s">
        <v>2833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0" t="s">
        <v>2833</v>
      </c>
      <c r="Z732" t="str">
        <f>IFERROR(VLOOKUP(ROWS($Z$3:Z732),$X$3:$Y$992,2,0),"")</f>
        <v>Promítání filmů</v>
      </c>
    </row>
    <row r="733" spans="13:26">
      <c r="M733" s="289">
        <f>IF(ISNUMBER(SEARCH(ZAKL_DATA!$B$29,N733)),MAX($M$2:M732)+1,0)</f>
        <v>731</v>
      </c>
      <c r="N733" s="290" t="s">
        <v>2835</v>
      </c>
      <c r="O733" s="305" t="s">
        <v>2836</v>
      </c>
      <c r="Q733" s="292" t="str">
        <f>IFERROR(VLOOKUP(ROWS($Q$3:Q733),$M$3:$N$992,2,0),"")</f>
        <v>Programování</v>
      </c>
      <c r="R733">
        <f>IF(ISNUMBER(SEARCH('1Př1'!$A$32,N733)),MAX($M$2:M732)+1,0)</f>
        <v>731</v>
      </c>
      <c r="S733" s="290" t="s">
        <v>2835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0" t="s">
        <v>2835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0" t="s">
        <v>2835</v>
      </c>
      <c r="Z733" t="str">
        <f>IFERROR(VLOOKUP(ROWS($Z$3:Z733),$X$3:$Y$992,2,0),"")</f>
        <v>Programování</v>
      </c>
    </row>
    <row r="734" spans="13:26">
      <c r="M734" s="289">
        <f>IF(ISNUMBER(SEARCH(ZAKL_DATA!$B$29,N734)),MAX($M$2:M733)+1,0)</f>
        <v>732</v>
      </c>
      <c r="N734" s="290" t="s">
        <v>2837</v>
      </c>
      <c r="O734" s="305" t="s">
        <v>2838</v>
      </c>
      <c r="Q734" s="292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0" t="s">
        <v>2837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0" t="s">
        <v>2837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0" t="s">
        <v>2837</v>
      </c>
      <c r="Z734" t="str">
        <f>IFERROR(VLOOKUP(ROWS($Z$3:Z734),$X$3:$Y$992,2,0),"")</f>
        <v>Poradenství v oblasti informačních technologií</v>
      </c>
    </row>
    <row r="735" spans="13:26">
      <c r="M735" s="289">
        <f>IF(ISNUMBER(SEARCH(ZAKL_DATA!$B$29,N735)),MAX($M$2:M734)+1,0)</f>
        <v>733</v>
      </c>
      <c r="N735" s="290" t="s">
        <v>2839</v>
      </c>
      <c r="O735" s="305" t="s">
        <v>2840</v>
      </c>
      <c r="Q735" s="292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0" t="s">
        <v>2839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0" t="s">
        <v>2839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0" t="s">
        <v>2839</v>
      </c>
      <c r="Z735" t="str">
        <f>IFERROR(VLOOKUP(ROWS($Z$3:Z735),$X$3:$Y$992,2,0),"")</f>
        <v>Správa počítačového vybavení</v>
      </c>
    </row>
    <row r="736" spans="13:26">
      <c r="M736" s="289">
        <f>IF(ISNUMBER(SEARCH(ZAKL_DATA!$B$29,N736)),MAX($M$2:M735)+1,0)</f>
        <v>734</v>
      </c>
      <c r="N736" s="290" t="s">
        <v>2841</v>
      </c>
      <c r="O736" s="305" t="s">
        <v>2842</v>
      </c>
      <c r="Q736" s="292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0" t="s">
        <v>2841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0" t="s">
        <v>2841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0" t="s">
        <v>2841</v>
      </c>
      <c r="Z736" t="str">
        <f>IFERROR(VLOOKUP(ROWS($Z$3:Z736),$X$3:$Y$992,2,0),"")</f>
        <v>Ostatní činnosti v oblasti informačních technologií</v>
      </c>
    </row>
    <row r="737" spans="13:26">
      <c r="M737" s="289">
        <f>IF(ISNUMBER(SEARCH(ZAKL_DATA!$B$29,N737)),MAX($M$2:M736)+1,0)</f>
        <v>735</v>
      </c>
      <c r="N737" s="290" t="s">
        <v>2843</v>
      </c>
      <c r="O737" s="305" t="s">
        <v>2844</v>
      </c>
      <c r="Q737" s="292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0" t="s">
        <v>2843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0" t="s">
        <v>2843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0" t="s">
        <v>2843</v>
      </c>
      <c r="Z737" t="str">
        <f>IFERROR(VLOOKUP(ROWS($Z$3:Z737),$X$3:$Y$992,2,0),"")</f>
        <v>Činnosti související se zpracováním dat a hostingem</v>
      </c>
    </row>
    <row r="738" spans="13:26">
      <c r="M738" s="289">
        <f>IF(ISNUMBER(SEARCH(ZAKL_DATA!$B$29,N738)),MAX($M$2:M737)+1,0)</f>
        <v>736</v>
      </c>
      <c r="N738" s="290" t="s">
        <v>2845</v>
      </c>
      <c r="O738" s="305" t="s">
        <v>2846</v>
      </c>
      <c r="Q738" s="292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0" t="s">
        <v>2845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0" t="s">
        <v>2845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0" t="s">
        <v>2845</v>
      </c>
      <c r="Z738" t="str">
        <f>IFERROR(VLOOKUP(ROWS($Z$3:Z738),$X$3:$Y$992,2,0),"")</f>
        <v>Činnosti související s webovými portály</v>
      </c>
    </row>
    <row r="739" spans="13:26">
      <c r="M739" s="289">
        <f>IF(ISNUMBER(SEARCH(ZAKL_DATA!$B$29,N739)),MAX($M$2:M738)+1,0)</f>
        <v>737</v>
      </c>
      <c r="N739" s="290" t="s">
        <v>2847</v>
      </c>
      <c r="O739" s="305" t="s">
        <v>2848</v>
      </c>
      <c r="Q739" s="292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0" t="s">
        <v>2847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0" t="s">
        <v>2847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0" t="s">
        <v>2847</v>
      </c>
      <c r="Z739" t="str">
        <f>IFERROR(VLOOKUP(ROWS($Z$3:Z739),$X$3:$Y$992,2,0),"")</f>
        <v>Činnosti zpravodajských tiskových kanceláří a agentur</v>
      </c>
    </row>
    <row r="740" spans="13:26">
      <c r="M740" s="289">
        <f>IF(ISNUMBER(SEARCH(ZAKL_DATA!$B$29,N740)),MAX($M$2:M739)+1,0)</f>
        <v>738</v>
      </c>
      <c r="N740" s="290" t="s">
        <v>2849</v>
      </c>
      <c r="O740" s="305" t="s">
        <v>2850</v>
      </c>
      <c r="Q740" s="292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0" t="s">
        <v>2849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0" t="s">
        <v>2849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0" t="s">
        <v>2849</v>
      </c>
      <c r="Z740" t="str">
        <f>IFERROR(VLOOKUP(ROWS($Z$3:Z740),$X$3:$Y$992,2,0),"")</f>
        <v>Ostatní informační činnosti j. n.</v>
      </c>
    </row>
    <row r="741" spans="13:26">
      <c r="M741" s="289">
        <f>IF(ISNUMBER(SEARCH(ZAKL_DATA!$B$29,N741)),MAX($M$2:M740)+1,0)</f>
        <v>739</v>
      </c>
      <c r="N741" s="290" t="s">
        <v>2851</v>
      </c>
      <c r="O741" s="305" t="s">
        <v>2852</v>
      </c>
      <c r="Q741" s="292" t="str">
        <f>IFERROR(VLOOKUP(ROWS($Q$3:Q741),$M$3:$N$992,2,0),"")</f>
        <v>Centrální bankovnictví</v>
      </c>
      <c r="R741">
        <f>IF(ISNUMBER(SEARCH('1Př1'!$A$32,N741)),MAX($M$2:M740)+1,0)</f>
        <v>739</v>
      </c>
      <c r="S741" s="290" t="s">
        <v>2851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0" t="s">
        <v>2851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0" t="s">
        <v>2851</v>
      </c>
      <c r="Z741" t="str">
        <f>IFERROR(VLOOKUP(ROWS($Z$3:Z741),$X$3:$Y$992,2,0),"")</f>
        <v>Centrální bankovnictví</v>
      </c>
    </row>
    <row r="742" spans="13:26">
      <c r="M742" s="289">
        <f>IF(ISNUMBER(SEARCH(ZAKL_DATA!$B$29,N742)),MAX($M$2:M741)+1,0)</f>
        <v>740</v>
      </c>
      <c r="N742" s="290" t="s">
        <v>2853</v>
      </c>
      <c r="O742" s="305" t="s">
        <v>2854</v>
      </c>
      <c r="Q742" s="292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0" t="s">
        <v>2853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0" t="s">
        <v>2853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0" t="s">
        <v>2853</v>
      </c>
      <c r="Z742" t="str">
        <f>IFERROR(VLOOKUP(ROWS($Z$3:Z742),$X$3:$Y$992,2,0),"")</f>
        <v>Ostatní peněžní zprostředkování</v>
      </c>
    </row>
    <row r="743" spans="13:26">
      <c r="M743" s="289">
        <f>IF(ISNUMBER(SEARCH(ZAKL_DATA!$B$29,N743)),MAX($M$2:M742)+1,0)</f>
        <v>741</v>
      </c>
      <c r="N743" s="290" t="s">
        <v>2855</v>
      </c>
      <c r="O743" s="305" t="s">
        <v>2856</v>
      </c>
      <c r="Q743" s="292" t="str">
        <f>IFERROR(VLOOKUP(ROWS($Q$3:Q743),$M$3:$N$992,2,0),"")</f>
        <v>Finanční leasing</v>
      </c>
      <c r="R743">
        <f>IF(ISNUMBER(SEARCH('1Př1'!$A$32,N743)),MAX($M$2:M742)+1,0)</f>
        <v>741</v>
      </c>
      <c r="S743" s="290" t="s">
        <v>2855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0" t="s">
        <v>2855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0" t="s">
        <v>2855</v>
      </c>
      <c r="Z743" t="str">
        <f>IFERROR(VLOOKUP(ROWS($Z$3:Z743),$X$3:$Y$992,2,0),"")</f>
        <v>Finanční leasing</v>
      </c>
    </row>
    <row r="744" spans="13:26">
      <c r="M744" s="289">
        <f>IF(ISNUMBER(SEARCH(ZAKL_DATA!$B$29,N744)),MAX($M$2:M743)+1,0)</f>
        <v>742</v>
      </c>
      <c r="N744" s="290" t="s">
        <v>2857</v>
      </c>
      <c r="O744" s="305" t="s">
        <v>2858</v>
      </c>
      <c r="Q744" s="292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0" t="s">
        <v>2857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0" t="s">
        <v>2857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0" t="s">
        <v>2857</v>
      </c>
      <c r="Z744" t="str">
        <f>IFERROR(VLOOKUP(ROWS($Z$3:Z744),$X$3:$Y$992,2,0),"")</f>
        <v>Ostatní poskytování úvěrů</v>
      </c>
    </row>
    <row r="745" spans="13:26">
      <c r="M745" s="289">
        <f>IF(ISNUMBER(SEARCH(ZAKL_DATA!$B$29,N745)),MAX($M$2:M744)+1,0)</f>
        <v>743</v>
      </c>
      <c r="N745" s="290" t="s">
        <v>2859</v>
      </c>
      <c r="O745" s="305" t="s">
        <v>2860</v>
      </c>
      <c r="Q745" s="292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0" t="s">
        <v>2859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0" t="s">
        <v>2859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0" t="s">
        <v>2859</v>
      </c>
      <c r="Z745" t="str">
        <f>IFERROR(VLOOKUP(ROWS($Z$3:Z745),$X$3:$Y$992,2,0),"")</f>
        <v>Ostatní finanční zprostředkování j. n.</v>
      </c>
    </row>
    <row r="746" spans="13:26">
      <c r="M746" s="289">
        <f>IF(ISNUMBER(SEARCH(ZAKL_DATA!$B$29,N746)),MAX($M$2:M745)+1,0)</f>
        <v>744</v>
      </c>
      <c r="N746" s="290" t="s">
        <v>2861</v>
      </c>
      <c r="O746" s="305" t="s">
        <v>2862</v>
      </c>
      <c r="Q746" s="292" t="str">
        <f>IFERROR(VLOOKUP(ROWS($Q$3:Q746),$M$3:$N$992,2,0),"")</f>
        <v>životní pojištění</v>
      </c>
      <c r="R746">
        <f>IF(ISNUMBER(SEARCH('1Př1'!$A$32,N746)),MAX($M$2:M745)+1,0)</f>
        <v>744</v>
      </c>
      <c r="S746" s="290" t="s">
        <v>2861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0" t="s">
        <v>2861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0" t="s">
        <v>2861</v>
      </c>
      <c r="Z746" t="str">
        <f>IFERROR(VLOOKUP(ROWS($Z$3:Z746),$X$3:$Y$992,2,0),"")</f>
        <v>životní pojištění</v>
      </c>
    </row>
    <row r="747" spans="13:26">
      <c r="M747" s="289">
        <f>IF(ISNUMBER(SEARCH(ZAKL_DATA!$B$29,N747)),MAX($M$2:M746)+1,0)</f>
        <v>745</v>
      </c>
      <c r="N747" s="290" t="s">
        <v>2863</v>
      </c>
      <c r="O747" s="305" t="s">
        <v>2864</v>
      </c>
      <c r="Q747" s="292" t="str">
        <f>IFERROR(VLOOKUP(ROWS($Q$3:Q747),$M$3:$N$992,2,0),"")</f>
        <v>Neživotní pojištění</v>
      </c>
      <c r="R747">
        <f>IF(ISNUMBER(SEARCH('1Př1'!$A$32,N747)),MAX($M$2:M746)+1,0)</f>
        <v>745</v>
      </c>
      <c r="S747" s="290" t="s">
        <v>2863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0" t="s">
        <v>2863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0" t="s">
        <v>2863</v>
      </c>
      <c r="Z747" t="str">
        <f>IFERROR(VLOOKUP(ROWS($Z$3:Z747),$X$3:$Y$992,2,0),"")</f>
        <v>Neživotní pojištění</v>
      </c>
    </row>
    <row r="748" spans="13:26">
      <c r="M748" s="289">
        <f>IF(ISNUMBER(SEARCH(ZAKL_DATA!$B$29,N748)),MAX($M$2:M747)+1,0)</f>
        <v>746</v>
      </c>
      <c r="N748" s="290" t="s">
        <v>2865</v>
      </c>
      <c r="O748" s="305" t="s">
        <v>2866</v>
      </c>
      <c r="Q748" s="292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0" t="s">
        <v>2865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0" t="s">
        <v>2865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0" t="s">
        <v>2865</v>
      </c>
      <c r="Z748" t="str">
        <f>IFERROR(VLOOKUP(ROWS($Z$3:Z748),$X$3:$Y$992,2,0),"")</f>
        <v>Řízení a správa finančních trhů</v>
      </c>
    </row>
    <row r="749" spans="13:26">
      <c r="M749" s="289">
        <f>IF(ISNUMBER(SEARCH(ZAKL_DATA!$B$29,N749)),MAX($M$2:M748)+1,0)</f>
        <v>747</v>
      </c>
      <c r="N749" s="290" t="s">
        <v>2867</v>
      </c>
      <c r="O749" s="305" t="s">
        <v>2868</v>
      </c>
      <c r="Q749" s="292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0" t="s">
        <v>2867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0" t="s">
        <v>2867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0" t="s">
        <v>2867</v>
      </c>
      <c r="Z749" t="str">
        <f>IFERROR(VLOOKUP(ROWS($Z$3:Z749),$X$3:$Y$992,2,0),"")</f>
        <v>Obchodování s cennými papíry a komoditami na burzách</v>
      </c>
    </row>
    <row r="750" spans="13:26">
      <c r="M750" s="289">
        <f>IF(ISNUMBER(SEARCH(ZAKL_DATA!$B$29,N750)),MAX($M$2:M749)+1,0)</f>
        <v>748</v>
      </c>
      <c r="N750" s="290" t="s">
        <v>2869</v>
      </c>
      <c r="O750" s="305" t="s">
        <v>2870</v>
      </c>
      <c r="Q750" s="292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0" t="s">
        <v>2869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0" t="s">
        <v>2869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0" t="s">
        <v>2869</v>
      </c>
      <c r="Z750" t="str">
        <f>IFERROR(VLOOKUP(ROWS($Z$3:Z750),$X$3:$Y$992,2,0),"")</f>
        <v>Ostatní pomocné činnosti související s finančním zprostředkováním</v>
      </c>
    </row>
    <row r="751" spans="13:26">
      <c r="M751" s="289">
        <f>IF(ISNUMBER(SEARCH(ZAKL_DATA!$B$29,N751)),MAX($M$2:M750)+1,0)</f>
        <v>749</v>
      </c>
      <c r="N751" s="290" t="s">
        <v>2871</v>
      </c>
      <c r="O751" s="305" t="s">
        <v>2872</v>
      </c>
      <c r="Q751" s="292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0" t="s">
        <v>2871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0" t="s">
        <v>2871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0" t="s">
        <v>2871</v>
      </c>
      <c r="Z751" t="str">
        <f>IFERROR(VLOOKUP(ROWS($Z$3:Z751),$X$3:$Y$992,2,0),"")</f>
        <v>Vyhodnocování rizik a škod</v>
      </c>
    </row>
    <row r="752" spans="13:26">
      <c r="M752" s="289">
        <f>IF(ISNUMBER(SEARCH(ZAKL_DATA!$B$29,N752)),MAX($M$2:M751)+1,0)</f>
        <v>750</v>
      </c>
      <c r="N752" s="290" t="s">
        <v>2873</v>
      </c>
      <c r="O752" s="305" t="s">
        <v>2874</v>
      </c>
      <c r="Q752" s="292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0" t="s">
        <v>2873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0" t="s">
        <v>2873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0" t="s">
        <v>2873</v>
      </c>
      <c r="Z752" t="str">
        <f>IFERROR(VLOOKUP(ROWS($Z$3:Z752),$X$3:$Y$992,2,0),"")</f>
        <v>Činnosti zástupců pojišťovny a makléřů</v>
      </c>
    </row>
    <row r="753" spans="13:26">
      <c r="M753" s="289">
        <f>IF(ISNUMBER(SEARCH(ZAKL_DATA!$B$29,N753)),MAX($M$2:M752)+1,0)</f>
        <v>751</v>
      </c>
      <c r="N753" s="290" t="s">
        <v>2875</v>
      </c>
      <c r="O753" s="305" t="s">
        <v>2876</v>
      </c>
      <c r="Q753" s="292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0" t="s">
        <v>2875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0" t="s">
        <v>2875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0" t="s">
        <v>2875</v>
      </c>
      <c r="Z753" t="str">
        <f>IFERROR(VLOOKUP(ROWS($Z$3:Z753),$X$3:$Y$992,2,0),"")</f>
        <v>Ostatní pomocné činnosti související s pojišťovnictvím a penz.fin.</v>
      </c>
    </row>
    <row r="754" spans="13:26">
      <c r="M754" s="289">
        <f>IF(ISNUMBER(SEARCH(ZAKL_DATA!$B$29,N754)),MAX($M$2:M753)+1,0)</f>
        <v>752</v>
      </c>
      <c r="N754" s="290" t="s">
        <v>2877</v>
      </c>
      <c r="O754" s="305" t="s">
        <v>2878</v>
      </c>
      <c r="Q754" s="292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0" t="s">
        <v>2877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0" t="s">
        <v>2877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0" t="s">
        <v>2877</v>
      </c>
      <c r="Z754" t="str">
        <f>IFERROR(VLOOKUP(ROWS($Z$3:Z754),$X$3:$Y$992,2,0),"")</f>
        <v>Zprostředkovatelské činnosti realitních agentur</v>
      </c>
    </row>
    <row r="755" spans="13:26">
      <c r="M755" s="289">
        <f>IF(ISNUMBER(SEARCH(ZAKL_DATA!$B$29,N755)),MAX($M$2:M754)+1,0)</f>
        <v>753</v>
      </c>
      <c r="N755" s="290" t="s">
        <v>2879</v>
      </c>
      <c r="O755" s="305" t="s">
        <v>2880</v>
      </c>
      <c r="Q755" s="292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0" t="s">
        <v>2879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0" t="s">
        <v>2879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0" t="s">
        <v>2879</v>
      </c>
      <c r="Z755" t="str">
        <f>IFERROR(VLOOKUP(ROWS($Z$3:Z755),$X$3:$Y$992,2,0),"")</f>
        <v>Správa nemovitostí na základě smlouvy</v>
      </c>
    </row>
    <row r="756" spans="13:26">
      <c r="M756" s="289">
        <f>IF(ISNUMBER(SEARCH(ZAKL_DATA!$B$29,N756)),MAX($M$2:M755)+1,0)</f>
        <v>754</v>
      </c>
      <c r="N756" s="290" t="s">
        <v>2881</v>
      </c>
      <c r="O756" s="305" t="s">
        <v>2882</v>
      </c>
      <c r="Q756" s="292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0" t="s">
        <v>2881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0" t="s">
        <v>2881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0" t="s">
        <v>2881</v>
      </c>
      <c r="Z756" t="str">
        <f>IFERROR(VLOOKUP(ROWS($Z$3:Z756),$X$3:$Y$992,2,0),"")</f>
        <v>Poradenství v oblasti vztahů s veřejností a komunikace</v>
      </c>
    </row>
    <row r="757" spans="13:26">
      <c r="M757" s="289">
        <f>IF(ISNUMBER(SEARCH(ZAKL_DATA!$B$29,N757)),MAX($M$2:M756)+1,0)</f>
        <v>755</v>
      </c>
      <c r="N757" s="290" t="s">
        <v>2883</v>
      </c>
      <c r="O757" s="305" t="s">
        <v>2884</v>
      </c>
      <c r="Q757" s="292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0" t="s">
        <v>2883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0" t="s">
        <v>2883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0" t="s">
        <v>2883</v>
      </c>
      <c r="Z757" t="str">
        <f>IFERROR(VLOOKUP(ROWS($Z$3:Z757),$X$3:$Y$992,2,0),"")</f>
        <v>Ostatní poradenství v oblasti podnikání a řízení</v>
      </c>
    </row>
    <row r="758" spans="13:26">
      <c r="M758" s="289">
        <f>IF(ISNUMBER(SEARCH(ZAKL_DATA!$B$29,N758)),MAX($M$2:M757)+1,0)</f>
        <v>756</v>
      </c>
      <c r="N758" s="290" t="s">
        <v>2885</v>
      </c>
      <c r="O758" s="305" t="s">
        <v>2886</v>
      </c>
      <c r="Q758" s="292" t="str">
        <f>IFERROR(VLOOKUP(ROWS($Q$3:Q758),$M$3:$N$992,2,0),"")</f>
        <v>Těžba železných rud</v>
      </c>
      <c r="R758">
        <f>IF(ISNUMBER(SEARCH('1Př1'!$A$32,N758)),MAX($M$2:M757)+1,0)</f>
        <v>756</v>
      </c>
      <c r="S758" s="290" t="s">
        <v>2885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0" t="s">
        <v>2885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0" t="s">
        <v>2885</v>
      </c>
      <c r="Z758" t="str">
        <f>IFERROR(VLOOKUP(ROWS($Z$3:Z758),$X$3:$Y$992,2,0),"")</f>
        <v>Těžba železných rud</v>
      </c>
    </row>
    <row r="759" spans="13:26">
      <c r="M759" s="289">
        <f>IF(ISNUMBER(SEARCH(ZAKL_DATA!$B$29,N759)),MAX($M$2:M758)+1,0)</f>
        <v>757</v>
      </c>
      <c r="N759" s="290" t="s">
        <v>2887</v>
      </c>
      <c r="O759" s="305" t="s">
        <v>2888</v>
      </c>
      <c r="Q759" s="292" t="str">
        <f>IFERROR(VLOOKUP(ROWS($Q$3:Q759),$M$3:$N$992,2,0),"")</f>
        <v>Úprava železných rud</v>
      </c>
      <c r="R759">
        <f>IF(ISNUMBER(SEARCH('1Př1'!$A$32,N759)),MAX($M$2:M758)+1,0)</f>
        <v>757</v>
      </c>
      <c r="S759" s="290" t="s">
        <v>2887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0" t="s">
        <v>2887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0" t="s">
        <v>2887</v>
      </c>
      <c r="Z759" t="str">
        <f>IFERROR(VLOOKUP(ROWS($Z$3:Z759),$X$3:$Y$992,2,0),"")</f>
        <v>Úprava železných rud</v>
      </c>
    </row>
    <row r="760" spans="13:26">
      <c r="M760" s="289">
        <f>IF(ISNUMBER(SEARCH(ZAKL_DATA!$B$29,N760)),MAX($M$2:M759)+1,0)</f>
        <v>758</v>
      </c>
      <c r="N760" s="290" t="s">
        <v>2889</v>
      </c>
      <c r="O760" s="305" t="s">
        <v>2890</v>
      </c>
      <c r="Q760" s="292" t="str">
        <f>IFERROR(VLOOKUP(ROWS($Q$3:Q760),$M$3:$N$992,2,0),"")</f>
        <v>Architektonické činnosti</v>
      </c>
      <c r="R760">
        <f>IF(ISNUMBER(SEARCH('1Př1'!$A$32,N760)),MAX($M$2:M759)+1,0)</f>
        <v>758</v>
      </c>
      <c r="S760" s="290" t="s">
        <v>2889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0" t="s">
        <v>2889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0" t="s">
        <v>2889</v>
      </c>
      <c r="Z760" t="str">
        <f>IFERROR(VLOOKUP(ROWS($Z$3:Z760),$X$3:$Y$992,2,0),"")</f>
        <v>Architektonické činnosti</v>
      </c>
    </row>
    <row r="761" spans="13:26">
      <c r="M761" s="289">
        <f>IF(ISNUMBER(SEARCH(ZAKL_DATA!$B$29,N761)),MAX($M$2:M760)+1,0)</f>
        <v>759</v>
      </c>
      <c r="N761" s="290" t="s">
        <v>2891</v>
      </c>
      <c r="O761" s="305" t="s">
        <v>2892</v>
      </c>
      <c r="Q761" s="292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0" t="s">
        <v>2891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0" t="s">
        <v>2891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0" t="s">
        <v>2891</v>
      </c>
      <c r="Z761" t="str">
        <f>IFERROR(VLOOKUP(ROWS($Z$3:Z761),$X$3:$Y$992,2,0),"")</f>
        <v>Inženýrské činnosti a související technické poradenství</v>
      </c>
    </row>
    <row r="762" spans="13:26">
      <c r="M762" s="289">
        <f>IF(ISNUMBER(SEARCH(ZAKL_DATA!$B$29,N762)),MAX($M$2:M761)+1,0)</f>
        <v>760</v>
      </c>
      <c r="N762" s="290" t="s">
        <v>2893</v>
      </c>
      <c r="O762" s="305" t="s">
        <v>2894</v>
      </c>
      <c r="Q762" s="292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0" t="s">
        <v>2893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0" t="s">
        <v>2893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0" t="s">
        <v>2893</v>
      </c>
      <c r="Z762" t="str">
        <f>IFERROR(VLOOKUP(ROWS($Z$3:Z762),$X$3:$Y$992,2,0),"")</f>
        <v>Výzkum a vývoj v oblasti biotechnologie</v>
      </c>
    </row>
    <row r="763" spans="13:26">
      <c r="M763" s="289">
        <f>IF(ISNUMBER(SEARCH(ZAKL_DATA!$B$29,N763)),MAX($M$2:M762)+1,0)</f>
        <v>761</v>
      </c>
      <c r="N763" s="290" t="s">
        <v>2895</v>
      </c>
      <c r="O763" s="305" t="s">
        <v>2896</v>
      </c>
      <c r="Q763" s="292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0" t="s">
        <v>2895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0" t="s">
        <v>2895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0" t="s">
        <v>2895</v>
      </c>
      <c r="Z763" t="str">
        <f>IFERROR(VLOOKUP(ROWS($Z$3:Z763),$X$3:$Y$992,2,0),"")</f>
        <v>Těžba uranových a thoriových rud</v>
      </c>
    </row>
    <row r="764" spans="13:26">
      <c r="M764" s="289">
        <f>IF(ISNUMBER(SEARCH(ZAKL_DATA!$B$29,N764)),MAX($M$2:M763)+1,0)</f>
        <v>762</v>
      </c>
      <c r="N764" s="290" t="s">
        <v>2897</v>
      </c>
      <c r="O764" s="305" t="s">
        <v>2898</v>
      </c>
      <c r="Q764" s="292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0" t="s">
        <v>2897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0" t="s">
        <v>2897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0" t="s">
        <v>2897</v>
      </c>
      <c r="Z764" t="str">
        <f>IFERROR(VLOOKUP(ROWS($Z$3:Z764),$X$3:$Y$992,2,0),"")</f>
        <v>Úprava uranových a thoriových rud</v>
      </c>
    </row>
    <row r="765" spans="13:26">
      <c r="M765" s="289">
        <f>IF(ISNUMBER(SEARCH(ZAKL_DATA!$B$29,N765)),MAX($M$2:M764)+1,0)</f>
        <v>763</v>
      </c>
      <c r="N765" s="290" t="s">
        <v>2899</v>
      </c>
      <c r="O765" s="305" t="s">
        <v>2900</v>
      </c>
      <c r="Q765" s="292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0" t="s">
        <v>2899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0" t="s">
        <v>2899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0" t="s">
        <v>2899</v>
      </c>
      <c r="Z765" t="str">
        <f>IFERROR(VLOOKUP(ROWS($Z$3:Z765),$X$3:$Y$992,2,0),"")</f>
        <v>Ostatní výzkum a vývoj voblasti přírodních atechnických věd</v>
      </c>
    </row>
    <row r="766" spans="13:26">
      <c r="M766" s="289">
        <f>IF(ISNUMBER(SEARCH(ZAKL_DATA!$B$29,N766)),MAX($M$2:M765)+1,0)</f>
        <v>764</v>
      </c>
      <c r="N766" s="290" t="s">
        <v>2901</v>
      </c>
      <c r="O766" s="305" t="s">
        <v>2902</v>
      </c>
      <c r="Q766" s="292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0" t="s">
        <v>2901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0" t="s">
        <v>2901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0" t="s">
        <v>2901</v>
      </c>
      <c r="Z766" t="str">
        <f>IFERROR(VLOOKUP(ROWS($Z$3:Z766),$X$3:$Y$992,2,0),"")</f>
        <v>Těžba ostatních neželezných rud</v>
      </c>
    </row>
    <row r="767" spans="13:26">
      <c r="M767" s="289">
        <f>IF(ISNUMBER(SEARCH(ZAKL_DATA!$B$29,N767)),MAX($M$2:M766)+1,0)</f>
        <v>765</v>
      </c>
      <c r="N767" s="290" t="s">
        <v>2903</v>
      </c>
      <c r="O767" s="305" t="s">
        <v>2904</v>
      </c>
      <c r="Q767" s="292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0" t="s">
        <v>2903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0" t="s">
        <v>2903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0" t="s">
        <v>2903</v>
      </c>
      <c r="Z767" t="str">
        <f>IFERROR(VLOOKUP(ROWS($Z$3:Z767),$X$3:$Y$992,2,0),"")</f>
        <v>Úprava ostatních neželezných rud</v>
      </c>
    </row>
    <row r="768" spans="13:26">
      <c r="M768" s="289">
        <f>IF(ISNUMBER(SEARCH(ZAKL_DATA!$B$29,N768)),MAX($M$2:M767)+1,0)</f>
        <v>766</v>
      </c>
      <c r="N768" s="290" t="s">
        <v>2905</v>
      </c>
      <c r="O768" s="305" t="s">
        <v>2906</v>
      </c>
      <c r="Q768" s="292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0" t="s">
        <v>2905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0" t="s">
        <v>2905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0" t="s">
        <v>2905</v>
      </c>
      <c r="Z768" t="str">
        <f>IFERROR(VLOOKUP(ROWS($Z$3:Z768),$X$3:$Y$992,2,0),"")</f>
        <v>Činnosti reklamních agentur</v>
      </c>
    </row>
    <row r="769" spans="13:26">
      <c r="M769" s="289">
        <f>IF(ISNUMBER(SEARCH(ZAKL_DATA!$B$29,N769)),MAX($M$2:M768)+1,0)</f>
        <v>767</v>
      </c>
      <c r="N769" s="290" t="s">
        <v>2907</v>
      </c>
      <c r="O769" s="305" t="s">
        <v>2908</v>
      </c>
      <c r="Q769" s="292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0" t="s">
        <v>2907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0" t="s">
        <v>2907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0" t="s">
        <v>2907</v>
      </c>
      <c r="Z769" t="str">
        <f>IFERROR(VLOOKUP(ROWS($Z$3:Z769),$X$3:$Y$992,2,0),"")</f>
        <v>Zastupování médií při prodeji reklamního času a prostoru</v>
      </c>
    </row>
    <row r="770" spans="13:26">
      <c r="M770" s="289">
        <f>IF(ISNUMBER(SEARCH(ZAKL_DATA!$B$29,N770)),MAX($M$2:M769)+1,0)</f>
        <v>768</v>
      </c>
      <c r="N770" s="290" t="s">
        <v>2909</v>
      </c>
      <c r="O770" s="305" t="s">
        <v>2910</v>
      </c>
      <c r="Q770" s="292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0" t="s">
        <v>2909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0" t="s">
        <v>2909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0" t="s">
        <v>2909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89">
        <f>IF(ISNUMBER(SEARCH(ZAKL_DATA!$B$29,N771)),MAX($M$2:M770)+1,0)</f>
        <v>769</v>
      </c>
      <c r="N771" s="290" t="s">
        <v>2911</v>
      </c>
      <c r="O771" s="305" t="s">
        <v>2912</v>
      </c>
      <c r="Q771" s="292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0" t="s">
        <v>2911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0" t="s">
        <v>2911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0" t="s">
        <v>2911</v>
      </c>
      <c r="Z771" t="str">
        <f>IFERROR(VLOOKUP(ROWS($Z$3:Z771),$X$3:$Y$992,2,0),"")</f>
        <v>Pronájem a leasing nákladních automobilů</v>
      </c>
    </row>
    <row r="772" spans="13:26">
      <c r="M772" s="289">
        <f>IF(ISNUMBER(SEARCH(ZAKL_DATA!$B$29,N772)),MAX($M$2:M771)+1,0)</f>
        <v>770</v>
      </c>
      <c r="N772" s="290" t="s">
        <v>2913</v>
      </c>
      <c r="O772" s="305" t="s">
        <v>2914</v>
      </c>
      <c r="Q772" s="292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0" t="s">
        <v>2913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0" t="s">
        <v>2913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0" t="s">
        <v>2913</v>
      </c>
      <c r="Z772" t="str">
        <f>IFERROR(VLOOKUP(ROWS($Z$3:Z772),$X$3:$Y$992,2,0),"")</f>
        <v>Pronájem a leasing rekreačních a sportovních potřeb</v>
      </c>
    </row>
    <row r="773" spans="13:26">
      <c r="M773" s="289">
        <f>IF(ISNUMBER(SEARCH(ZAKL_DATA!$B$29,N773)),MAX($M$2:M772)+1,0)</f>
        <v>771</v>
      </c>
      <c r="N773" s="290" t="s">
        <v>2915</v>
      </c>
      <c r="O773" s="305" t="s">
        <v>2916</v>
      </c>
      <c r="Q773" s="292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0" t="s">
        <v>2915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0" t="s">
        <v>2915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0" t="s">
        <v>2915</v>
      </c>
      <c r="Z773" t="str">
        <f>IFERROR(VLOOKUP(ROWS($Z$3:Z773),$X$3:$Y$992,2,0),"")</f>
        <v>Pronájem videokazet a disků</v>
      </c>
    </row>
    <row r="774" spans="13:26">
      <c r="M774" s="289">
        <f>IF(ISNUMBER(SEARCH(ZAKL_DATA!$B$29,N774)),MAX($M$2:M773)+1,0)</f>
        <v>772</v>
      </c>
      <c r="N774" s="290" t="s">
        <v>2917</v>
      </c>
      <c r="O774" s="305" t="s">
        <v>2918</v>
      </c>
      <c r="Q774" s="292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0" t="s">
        <v>2917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0" t="s">
        <v>2917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0" t="s">
        <v>2917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89">
        <f>IF(ISNUMBER(SEARCH(ZAKL_DATA!$B$29,N775)),MAX($M$2:M774)+1,0)</f>
        <v>773</v>
      </c>
      <c r="N775" s="290" t="s">
        <v>2919</v>
      </c>
      <c r="O775" s="305" t="s">
        <v>2920</v>
      </c>
      <c r="Q775" s="292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0" t="s">
        <v>2919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0" t="s">
        <v>2919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0" t="s">
        <v>2919</v>
      </c>
      <c r="Z775" t="str">
        <f>IFERROR(VLOOKUP(ROWS($Z$3:Z775),$X$3:$Y$992,2,0),"")</f>
        <v>Pronájem a leasing zemědělských strojů a zařízení</v>
      </c>
    </row>
    <row r="776" spans="13:26">
      <c r="M776" s="289">
        <f>IF(ISNUMBER(SEARCH(ZAKL_DATA!$B$29,N776)),MAX($M$2:M775)+1,0)</f>
        <v>774</v>
      </c>
      <c r="N776" s="290" t="s">
        <v>2921</v>
      </c>
      <c r="O776" s="305" t="s">
        <v>2922</v>
      </c>
      <c r="Q776" s="292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0" t="s">
        <v>2921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0" t="s">
        <v>2921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0" t="s">
        <v>2921</v>
      </c>
      <c r="Z776" t="str">
        <f>IFERROR(VLOOKUP(ROWS($Z$3:Z776),$X$3:$Y$992,2,0),"")</f>
        <v>Pronájem a leasing stavebních strojů a zařízení</v>
      </c>
    </row>
    <row r="777" spans="13:26">
      <c r="M777" s="289">
        <f>IF(ISNUMBER(SEARCH(ZAKL_DATA!$B$29,N777)),MAX($M$2:M776)+1,0)</f>
        <v>775</v>
      </c>
      <c r="N777" s="290" t="s">
        <v>2923</v>
      </c>
      <c r="O777" s="305" t="s">
        <v>2924</v>
      </c>
      <c r="Q777" s="292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0" t="s">
        <v>2923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0" t="s">
        <v>2923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0" t="s">
        <v>2923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89">
        <f>IF(ISNUMBER(SEARCH(ZAKL_DATA!$B$29,N778)),MAX($M$2:M777)+1,0)</f>
        <v>776</v>
      </c>
      <c r="N778" s="290" t="s">
        <v>2925</v>
      </c>
      <c r="O778" s="305" t="s">
        <v>2926</v>
      </c>
      <c r="Q778" s="292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0" t="s">
        <v>2925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0" t="s">
        <v>2925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0" t="s">
        <v>2925</v>
      </c>
      <c r="Z778" t="str">
        <f>IFERROR(VLOOKUP(ROWS($Z$3:Z778),$X$3:$Y$992,2,0),"")</f>
        <v>Pronájem a leasing vodních dopravních prostředků</v>
      </c>
    </row>
    <row r="779" spans="13:26">
      <c r="M779" s="289">
        <f>IF(ISNUMBER(SEARCH(ZAKL_DATA!$B$29,N779)),MAX($M$2:M778)+1,0)</f>
        <v>777</v>
      </c>
      <c r="N779" s="290" t="s">
        <v>2927</v>
      </c>
      <c r="O779" s="305" t="s">
        <v>2928</v>
      </c>
      <c r="Q779" s="292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0" t="s">
        <v>2927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0" t="s">
        <v>2927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0" t="s">
        <v>2927</v>
      </c>
      <c r="Z779" t="str">
        <f>IFERROR(VLOOKUP(ROWS($Z$3:Z779),$X$3:$Y$992,2,0),"")</f>
        <v>Pronájem a leasing leteckých dopravních prostředků</v>
      </c>
    </row>
    <row r="780" spans="13:26">
      <c r="M780" s="289">
        <f>IF(ISNUMBER(SEARCH(ZAKL_DATA!$B$29,N780)),MAX($M$2:M779)+1,0)</f>
        <v>778</v>
      </c>
      <c r="N780" s="290" t="s">
        <v>2929</v>
      </c>
      <c r="O780" s="305" t="s">
        <v>2930</v>
      </c>
      <c r="Q780" s="292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0" t="s">
        <v>2929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0" t="s">
        <v>2929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0" t="s">
        <v>2929</v>
      </c>
      <c r="Z780" t="str">
        <f>IFERROR(VLOOKUP(ROWS($Z$3:Z780),$X$3:$Y$992,2,0),"")</f>
        <v>Pronájem a leasing ostatních strojů, zařízení a výrobků j. n.</v>
      </c>
    </row>
    <row r="781" spans="13:26">
      <c r="M781" s="289">
        <f>IF(ISNUMBER(SEARCH(ZAKL_DATA!$B$29,N781)),MAX($M$2:M780)+1,0)</f>
        <v>779</v>
      </c>
      <c r="N781" s="290" t="s">
        <v>2931</v>
      </c>
      <c r="O781" s="305" t="s">
        <v>2932</v>
      </c>
      <c r="Q781" s="292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0" t="s">
        <v>2931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0" t="s">
        <v>2931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0" t="s">
        <v>2931</v>
      </c>
      <c r="Z781" t="str">
        <f>IFERROR(VLOOKUP(ROWS($Z$3:Z781),$X$3:$Y$992,2,0),"")</f>
        <v>Činnosti cestovních agentur</v>
      </c>
    </row>
    <row r="782" spans="13:26">
      <c r="M782" s="289">
        <f>IF(ISNUMBER(SEARCH(ZAKL_DATA!$B$29,N782)),MAX($M$2:M781)+1,0)</f>
        <v>780</v>
      </c>
      <c r="N782" s="290" t="s">
        <v>2933</v>
      </c>
      <c r="O782" s="305" t="s">
        <v>2934</v>
      </c>
      <c r="Q782" s="292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0" t="s">
        <v>2933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0" t="s">
        <v>2933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0" t="s">
        <v>2933</v>
      </c>
      <c r="Z782" t="str">
        <f>IFERROR(VLOOKUP(ROWS($Z$3:Z782),$X$3:$Y$992,2,0),"")</f>
        <v>Činnosti cestovních kanceláří</v>
      </c>
    </row>
    <row r="783" spans="13:26">
      <c r="M783" s="289">
        <f>IF(ISNUMBER(SEARCH(ZAKL_DATA!$B$29,N783)),MAX($M$2:M782)+1,0)</f>
        <v>781</v>
      </c>
      <c r="N783" s="290" t="s">
        <v>2935</v>
      </c>
      <c r="O783" s="305" t="s">
        <v>2936</v>
      </c>
      <c r="Q783" s="292" t="str">
        <f>IFERROR(VLOOKUP(ROWS($Q$3:Q783),$M$3:$N$992,2,0),"")</f>
        <v>Všeobecný úklid budov</v>
      </c>
      <c r="R783">
        <f>IF(ISNUMBER(SEARCH('1Př1'!$A$32,N783)),MAX($M$2:M782)+1,0)</f>
        <v>781</v>
      </c>
      <c r="S783" s="290" t="s">
        <v>2935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0" t="s">
        <v>2935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0" t="s">
        <v>2935</v>
      </c>
      <c r="Z783" t="str">
        <f>IFERROR(VLOOKUP(ROWS($Z$3:Z783),$X$3:$Y$992,2,0),"")</f>
        <v>Všeobecný úklid budov</v>
      </c>
    </row>
    <row r="784" spans="13:26">
      <c r="M784" s="289">
        <f>IF(ISNUMBER(SEARCH(ZAKL_DATA!$B$29,N784)),MAX($M$2:M783)+1,0)</f>
        <v>782</v>
      </c>
      <c r="N784" s="290" t="s">
        <v>2937</v>
      </c>
      <c r="O784" s="305" t="s">
        <v>2938</v>
      </c>
      <c r="Q784" s="292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0" t="s">
        <v>2937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0" t="s">
        <v>2937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0" t="s">
        <v>2937</v>
      </c>
      <c r="Z784" t="str">
        <f>IFERROR(VLOOKUP(ROWS($Z$3:Z784),$X$3:$Y$992,2,0),"")</f>
        <v>Specializované čištění a úklid budov a průmyslových zařízení</v>
      </c>
    </row>
    <row r="785" spans="13:26">
      <c r="M785" s="289">
        <f>IF(ISNUMBER(SEARCH(ZAKL_DATA!$B$29,N785)),MAX($M$2:M784)+1,0)</f>
        <v>783</v>
      </c>
      <c r="N785" s="290" t="s">
        <v>2939</v>
      </c>
      <c r="O785" s="305" t="s">
        <v>2940</v>
      </c>
      <c r="Q785" s="292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0" t="s">
        <v>2939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0" t="s">
        <v>2939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0" t="s">
        <v>2939</v>
      </c>
      <c r="Z785" t="str">
        <f>IFERROR(VLOOKUP(ROWS($Z$3:Z785),$X$3:$Y$992,2,0),"")</f>
        <v>Ostatní úklidové činnosti</v>
      </c>
    </row>
    <row r="786" spans="13:26">
      <c r="M786" s="289">
        <f>IF(ISNUMBER(SEARCH(ZAKL_DATA!$B$29,N786)),MAX($M$2:M785)+1,0)</f>
        <v>784</v>
      </c>
      <c r="N786" s="290" t="s">
        <v>2941</v>
      </c>
      <c r="O786" s="305" t="s">
        <v>2942</v>
      </c>
      <c r="Q786" s="292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0" t="s">
        <v>2941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0" t="s">
        <v>2941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0" t="s">
        <v>2941</v>
      </c>
      <c r="Z786" t="str">
        <f>IFERROR(VLOOKUP(ROWS($Z$3:Z786),$X$3:$Y$992,2,0),"")</f>
        <v>Univerzální administrativní činnosti</v>
      </c>
    </row>
    <row r="787" spans="13:26">
      <c r="M787" s="289">
        <f>IF(ISNUMBER(SEARCH(ZAKL_DATA!$B$29,N787)),MAX($M$2:M786)+1,0)</f>
        <v>785</v>
      </c>
      <c r="N787" s="290" t="s">
        <v>2943</v>
      </c>
      <c r="O787" s="305" t="s">
        <v>2944</v>
      </c>
      <c r="Q787" s="292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0" t="s">
        <v>2943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0" t="s">
        <v>2943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0" t="s">
        <v>2943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89">
        <f>IF(ISNUMBER(SEARCH(ZAKL_DATA!$B$29,N788)),MAX($M$2:M787)+1,0)</f>
        <v>786</v>
      </c>
      <c r="N788" s="290" t="s">
        <v>2945</v>
      </c>
      <c r="O788" s="305" t="s">
        <v>2946</v>
      </c>
      <c r="Q788" s="292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0" t="s">
        <v>2945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0" t="s">
        <v>2945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0" t="s">
        <v>2945</v>
      </c>
      <c r="Z788" t="str">
        <f>IFERROR(VLOOKUP(ROWS($Z$3:Z788),$X$3:$Y$992,2,0),"")</f>
        <v>Inkasní činnosti, ověřování solventnosti zákazníka</v>
      </c>
    </row>
    <row r="789" spans="13:26">
      <c r="M789" s="289">
        <f>IF(ISNUMBER(SEARCH(ZAKL_DATA!$B$29,N789)),MAX($M$2:M788)+1,0)</f>
        <v>787</v>
      </c>
      <c r="N789" s="290" t="s">
        <v>2947</v>
      </c>
      <c r="O789" s="305" t="s">
        <v>2948</v>
      </c>
      <c r="Q789" s="292" t="str">
        <f>IFERROR(VLOOKUP(ROWS($Q$3:Q789),$M$3:$N$992,2,0),"")</f>
        <v>Balicí činnosti</v>
      </c>
      <c r="R789">
        <f>IF(ISNUMBER(SEARCH('1Př1'!$A$32,N789)),MAX($M$2:M788)+1,0)</f>
        <v>787</v>
      </c>
      <c r="S789" s="290" t="s">
        <v>2947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0" t="s">
        <v>2947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0" t="s">
        <v>2947</v>
      </c>
      <c r="Z789" t="str">
        <f>IFERROR(VLOOKUP(ROWS($Z$3:Z789),$X$3:$Y$992,2,0),"")</f>
        <v>Balicí činnosti</v>
      </c>
    </row>
    <row r="790" spans="13:26">
      <c r="M790" s="289">
        <f>IF(ISNUMBER(SEARCH(ZAKL_DATA!$B$29,N790)),MAX($M$2:M789)+1,0)</f>
        <v>788</v>
      </c>
      <c r="N790" s="290" t="s">
        <v>2949</v>
      </c>
      <c r="O790" s="305" t="s">
        <v>2950</v>
      </c>
      <c r="Q790" s="292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0" t="s">
        <v>2949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0" t="s">
        <v>2949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0" t="s">
        <v>2949</v>
      </c>
      <c r="Z790" t="str">
        <f>IFERROR(VLOOKUP(ROWS($Z$3:Z790),$X$3:$Y$992,2,0),"")</f>
        <v>Ostatní podpůrné činnosti pro podnikání j. n.</v>
      </c>
    </row>
    <row r="791" spans="13:26">
      <c r="M791" s="289">
        <f>IF(ISNUMBER(SEARCH(ZAKL_DATA!$B$29,N791)),MAX($M$2:M790)+1,0)</f>
        <v>789</v>
      </c>
      <c r="N791" s="290" t="s">
        <v>2951</v>
      </c>
      <c r="O791" s="305" t="s">
        <v>2952</v>
      </c>
      <c r="Q791" s="292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0" t="s">
        <v>2951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0" t="s">
        <v>2951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0" t="s">
        <v>2951</v>
      </c>
      <c r="Z791" t="str">
        <f>IFERROR(VLOOKUP(ROWS($Z$3:Z791),$X$3:$Y$992,2,0),"")</f>
        <v>Všeobecné činnosti veřejné správy</v>
      </c>
    </row>
    <row r="792" spans="13:26">
      <c r="M792" s="289">
        <f>IF(ISNUMBER(SEARCH(ZAKL_DATA!$B$29,N792)),MAX($M$2:M791)+1,0)</f>
        <v>790</v>
      </c>
      <c r="N792" s="290" t="s">
        <v>2953</v>
      </c>
      <c r="O792" s="305" t="s">
        <v>2954</v>
      </c>
      <c r="Q792" s="292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0" t="s">
        <v>2953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0" t="s">
        <v>2953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0" t="s">
        <v>2953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89">
        <f>IF(ISNUMBER(SEARCH(ZAKL_DATA!$B$29,N793)),MAX($M$2:M792)+1,0)</f>
        <v>791</v>
      </c>
      <c r="N793" s="290" t="s">
        <v>2955</v>
      </c>
      <c r="O793" s="305" t="s">
        <v>2956</v>
      </c>
      <c r="Q793" s="292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0" t="s">
        <v>2955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0" t="s">
        <v>2955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0" t="s">
        <v>2955</v>
      </c>
      <c r="Z793" t="str">
        <f>IFERROR(VLOOKUP(ROWS($Z$3:Z793),$X$3:$Y$992,2,0),"")</f>
        <v>Regulace a podpora podnikatelského prostředí</v>
      </c>
    </row>
    <row r="794" spans="13:26">
      <c r="M794" s="289">
        <f>IF(ISNUMBER(SEARCH(ZAKL_DATA!$B$29,N794)),MAX($M$2:M793)+1,0)</f>
        <v>792</v>
      </c>
      <c r="N794" s="290" t="s">
        <v>2957</v>
      </c>
      <c r="O794" s="305" t="s">
        <v>2958</v>
      </c>
      <c r="Q794" s="292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0" t="s">
        <v>2957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0" t="s">
        <v>2957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0" t="s">
        <v>2957</v>
      </c>
      <c r="Z794" t="str">
        <f>IFERROR(VLOOKUP(ROWS($Z$3:Z794),$X$3:$Y$992,2,0),"")</f>
        <v>Činnosti v oblasti zahraničních věcí</v>
      </c>
    </row>
    <row r="795" spans="13:26">
      <c r="M795" s="289">
        <f>IF(ISNUMBER(SEARCH(ZAKL_DATA!$B$29,N795)),MAX($M$2:M794)+1,0)</f>
        <v>793</v>
      </c>
      <c r="N795" s="290" t="s">
        <v>2959</v>
      </c>
      <c r="O795" s="305" t="s">
        <v>2960</v>
      </c>
      <c r="Q795" s="292" t="str">
        <f>IFERROR(VLOOKUP(ROWS($Q$3:Q795),$M$3:$N$992,2,0),"")</f>
        <v>Činnosti v oblasti obrany</v>
      </c>
      <c r="R795">
        <f>IF(ISNUMBER(SEARCH('1Př1'!$A$32,N795)),MAX($M$2:M794)+1,0)</f>
        <v>793</v>
      </c>
      <c r="S795" s="290" t="s">
        <v>2959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0" t="s">
        <v>2959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0" t="s">
        <v>2959</v>
      </c>
      <c r="Z795" t="str">
        <f>IFERROR(VLOOKUP(ROWS($Z$3:Z795),$X$3:$Y$992,2,0),"")</f>
        <v>Činnosti v oblasti obrany</v>
      </c>
    </row>
    <row r="796" spans="13:26">
      <c r="M796" s="289">
        <f>IF(ISNUMBER(SEARCH(ZAKL_DATA!$B$29,N796)),MAX($M$2:M795)+1,0)</f>
        <v>794</v>
      </c>
      <c r="N796" s="290" t="s">
        <v>2961</v>
      </c>
      <c r="O796" s="305" t="s">
        <v>2962</v>
      </c>
      <c r="Q796" s="292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0" t="s">
        <v>2961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0" t="s">
        <v>2961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0" t="s">
        <v>2961</v>
      </c>
      <c r="Z796" t="str">
        <f>IFERROR(VLOOKUP(ROWS($Z$3:Z796),$X$3:$Y$992,2,0),"")</f>
        <v>Činnosti v oblasti spravedlnosti a soudnictví</v>
      </c>
    </row>
    <row r="797" spans="13:26">
      <c r="M797" s="289">
        <f>IF(ISNUMBER(SEARCH(ZAKL_DATA!$B$29,N797)),MAX($M$2:M796)+1,0)</f>
        <v>795</v>
      </c>
      <c r="N797" s="290" t="s">
        <v>2963</v>
      </c>
      <c r="O797" s="305" t="s">
        <v>2964</v>
      </c>
      <c r="Q797" s="292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0" t="s">
        <v>2963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0" t="s">
        <v>2963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0" t="s">
        <v>2963</v>
      </c>
      <c r="Z797" t="str">
        <f>IFERROR(VLOOKUP(ROWS($Z$3:Z797),$X$3:$Y$992,2,0),"")</f>
        <v>Činnosti v oblasti veřejného pořádku a bezpečnosti</v>
      </c>
    </row>
    <row r="798" spans="13:26">
      <c r="M798" s="289">
        <f>IF(ISNUMBER(SEARCH(ZAKL_DATA!$B$29,N798)),MAX($M$2:M797)+1,0)</f>
        <v>796</v>
      </c>
      <c r="N798" s="290" t="s">
        <v>2965</v>
      </c>
      <c r="O798" s="305" t="s">
        <v>2966</v>
      </c>
      <c r="Q798" s="292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0" t="s">
        <v>2965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0" t="s">
        <v>2965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0" t="s">
        <v>2965</v>
      </c>
      <c r="Z798" t="str">
        <f>IFERROR(VLOOKUP(ROWS($Z$3:Z798),$X$3:$Y$992,2,0),"")</f>
        <v>Činnosti v oblasti protipožární ochrany</v>
      </c>
    </row>
    <row r="799" spans="13:26">
      <c r="M799" s="289">
        <f>IF(ISNUMBER(SEARCH(ZAKL_DATA!$B$29,N799)),MAX($M$2:M798)+1,0)</f>
        <v>797</v>
      </c>
      <c r="N799" s="290" t="s">
        <v>2967</v>
      </c>
      <c r="O799" s="305" t="s">
        <v>2968</v>
      </c>
      <c r="Q799" s="292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0" t="s">
        <v>2967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0" t="s">
        <v>2967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0" t="s">
        <v>2967</v>
      </c>
      <c r="Z799" t="str">
        <f>IFERROR(VLOOKUP(ROWS($Z$3:Z799),$X$3:$Y$992,2,0),"")</f>
        <v>Sekundární všeobecné vzdělávání</v>
      </c>
    </row>
    <row r="800" spans="13:26">
      <c r="M800" s="289">
        <f>IF(ISNUMBER(SEARCH(ZAKL_DATA!$B$29,N800)),MAX($M$2:M799)+1,0)</f>
        <v>798</v>
      </c>
      <c r="N800" s="290" t="s">
        <v>2969</v>
      </c>
      <c r="O800" s="305" t="s">
        <v>2970</v>
      </c>
      <c r="Q800" s="292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0" t="s">
        <v>2969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0" t="s">
        <v>2969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0" t="s">
        <v>2969</v>
      </c>
      <c r="Z800" t="str">
        <f>IFERROR(VLOOKUP(ROWS($Z$3:Z800),$X$3:$Y$992,2,0),"")</f>
        <v>Sekundární odborné vzdělávání</v>
      </c>
    </row>
    <row r="801" spans="13:26">
      <c r="M801" s="289">
        <f>IF(ISNUMBER(SEARCH(ZAKL_DATA!$B$29,N801)),MAX($M$2:M800)+1,0)</f>
        <v>799</v>
      </c>
      <c r="N801" s="290" t="s">
        <v>2971</v>
      </c>
      <c r="O801" s="305" t="s">
        <v>2972</v>
      </c>
      <c r="Q801" s="292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0" t="s">
        <v>2971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0" t="s">
        <v>2971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0" t="s">
        <v>2971</v>
      </c>
      <c r="Z801" t="str">
        <f>IFERROR(VLOOKUP(ROWS($Z$3:Z801),$X$3:$Y$992,2,0),"")</f>
        <v>Postsekundární nikoli terciární vzdělávání</v>
      </c>
    </row>
    <row r="802" spans="13:26">
      <c r="M802" s="289">
        <f>IF(ISNUMBER(SEARCH(ZAKL_DATA!$B$29,N802)),MAX($M$2:M801)+1,0)</f>
        <v>800</v>
      </c>
      <c r="N802" s="290" t="s">
        <v>2973</v>
      </c>
      <c r="O802" s="305" t="s">
        <v>2974</v>
      </c>
      <c r="Q802" s="292" t="str">
        <f>IFERROR(VLOOKUP(ROWS($Q$3:Q802),$M$3:$N$992,2,0),"")</f>
        <v>Terciární vzdělávání</v>
      </c>
      <c r="R802">
        <f>IF(ISNUMBER(SEARCH('1Př1'!$A$32,N802)),MAX($M$2:M801)+1,0)</f>
        <v>800</v>
      </c>
      <c r="S802" s="290" t="s">
        <v>2973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0" t="s">
        <v>2973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0" t="s">
        <v>2973</v>
      </c>
      <c r="Z802" t="str">
        <f>IFERROR(VLOOKUP(ROWS($Z$3:Z802),$X$3:$Y$992,2,0),"")</f>
        <v>Terciární vzdělávání</v>
      </c>
    </row>
    <row r="803" spans="13:26">
      <c r="M803" s="289">
        <f>IF(ISNUMBER(SEARCH(ZAKL_DATA!$B$29,N803)),MAX($M$2:M802)+1,0)</f>
        <v>801</v>
      </c>
      <c r="N803" s="290" t="s">
        <v>2975</v>
      </c>
      <c r="O803" s="305" t="s">
        <v>2976</v>
      </c>
      <c r="Q803" s="292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0" t="s">
        <v>2975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0" t="s">
        <v>2975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0" t="s">
        <v>2975</v>
      </c>
      <c r="Z803" t="str">
        <f>IFERROR(VLOOKUP(ROWS($Z$3:Z803),$X$3:$Y$992,2,0),"")</f>
        <v>Sportovní a rekreační vzdělávání</v>
      </c>
    </row>
    <row r="804" spans="13:26">
      <c r="M804" s="289">
        <f>IF(ISNUMBER(SEARCH(ZAKL_DATA!$B$29,N804)),MAX($M$2:M803)+1,0)</f>
        <v>802</v>
      </c>
      <c r="N804" s="290" t="s">
        <v>2977</v>
      </c>
      <c r="O804" s="305" t="s">
        <v>2978</v>
      </c>
      <c r="Q804" s="292" t="str">
        <f>IFERROR(VLOOKUP(ROWS($Q$3:Q804),$M$3:$N$992,2,0),"")</f>
        <v>Umělecké vzdělávání</v>
      </c>
      <c r="R804">
        <f>IF(ISNUMBER(SEARCH('1Př1'!$A$32,N804)),MAX($M$2:M803)+1,0)</f>
        <v>802</v>
      </c>
      <c r="S804" s="290" t="s">
        <v>2977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0" t="s">
        <v>2977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0" t="s">
        <v>2977</v>
      </c>
      <c r="Z804" t="str">
        <f>IFERROR(VLOOKUP(ROWS($Z$3:Z804),$X$3:$Y$992,2,0),"")</f>
        <v>Umělecké vzdělávání</v>
      </c>
    </row>
    <row r="805" spans="13:26">
      <c r="M805" s="289">
        <f>IF(ISNUMBER(SEARCH(ZAKL_DATA!$B$29,N805)),MAX($M$2:M804)+1,0)</f>
        <v>803</v>
      </c>
      <c r="N805" s="290" t="s">
        <v>2979</v>
      </c>
      <c r="O805" s="305" t="s">
        <v>2980</v>
      </c>
      <c r="Q805" s="292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0" t="s">
        <v>2979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0" t="s">
        <v>2979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0" t="s">
        <v>2979</v>
      </c>
      <c r="Z805" t="str">
        <f>IFERROR(VLOOKUP(ROWS($Z$3:Z805),$X$3:$Y$992,2,0),"")</f>
        <v>Činnosti autoškol a jiných škol řízení</v>
      </c>
    </row>
    <row r="806" spans="13:26">
      <c r="M806" s="289">
        <f>IF(ISNUMBER(SEARCH(ZAKL_DATA!$B$29,N806)),MAX($M$2:M805)+1,0)</f>
        <v>804</v>
      </c>
      <c r="N806" s="290" t="s">
        <v>2981</v>
      </c>
      <c r="O806" s="305" t="s">
        <v>2982</v>
      </c>
      <c r="Q806" s="292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0" t="s">
        <v>2981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0" t="s">
        <v>2981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0" t="s">
        <v>2981</v>
      </c>
      <c r="Z806" t="str">
        <f>IFERROR(VLOOKUP(ROWS($Z$3:Z806),$X$3:$Y$992,2,0),"")</f>
        <v>Ostatní vzdělávání j. n.</v>
      </c>
    </row>
    <row r="807" spans="13:26">
      <c r="M807" s="289">
        <f>IF(ISNUMBER(SEARCH(ZAKL_DATA!$B$29,N807)),MAX($M$2:M806)+1,0)</f>
        <v>805</v>
      </c>
      <c r="N807" s="290" t="s">
        <v>2983</v>
      </c>
      <c r="O807" s="305" t="s">
        <v>2984</v>
      </c>
      <c r="Q807" s="292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0" t="s">
        <v>2983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0" t="s">
        <v>2983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0" t="s">
        <v>2983</v>
      </c>
      <c r="Z807" t="str">
        <f>IFERROR(VLOOKUP(ROWS($Z$3:Z807),$X$3:$Y$992,2,0),"")</f>
        <v>Všeobecná ambulantní zdravotní péče</v>
      </c>
    </row>
    <row r="808" spans="13:26">
      <c r="M808" s="289">
        <f>IF(ISNUMBER(SEARCH(ZAKL_DATA!$B$29,N808)),MAX($M$2:M807)+1,0)</f>
        <v>806</v>
      </c>
      <c r="N808" s="290" t="s">
        <v>2985</v>
      </c>
      <c r="O808" s="305" t="s">
        <v>2986</v>
      </c>
      <c r="Q808" s="292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0" t="s">
        <v>2985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0" t="s">
        <v>2985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0" t="s">
        <v>2985</v>
      </c>
      <c r="Z808" t="str">
        <f>IFERROR(VLOOKUP(ROWS($Z$3:Z808),$X$3:$Y$992,2,0),"")</f>
        <v>Specializovaná ambulantní zdravotní péče</v>
      </c>
    </row>
    <row r="809" spans="13:26">
      <c r="M809" s="289">
        <f>IF(ISNUMBER(SEARCH(ZAKL_DATA!$B$29,N809)),MAX($M$2:M808)+1,0)</f>
        <v>807</v>
      </c>
      <c r="N809" s="290" t="s">
        <v>2987</v>
      </c>
      <c r="O809" s="305" t="s">
        <v>2988</v>
      </c>
      <c r="Q809" s="292" t="str">
        <f>IFERROR(VLOOKUP(ROWS($Q$3:Q809),$M$3:$N$992,2,0),"")</f>
        <v>Zubní péče</v>
      </c>
      <c r="R809">
        <f>IF(ISNUMBER(SEARCH('1Př1'!$A$32,N809)),MAX($M$2:M808)+1,0)</f>
        <v>807</v>
      </c>
      <c r="S809" s="290" t="s">
        <v>2987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0" t="s">
        <v>2987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0" t="s">
        <v>2987</v>
      </c>
      <c r="Z809" t="str">
        <f>IFERROR(VLOOKUP(ROWS($Z$3:Z809),$X$3:$Y$992,2,0),"")</f>
        <v>Zubní péče</v>
      </c>
    </row>
    <row r="810" spans="13:26">
      <c r="M810" s="289">
        <f>IF(ISNUMBER(SEARCH(ZAKL_DATA!$B$29,N810)),MAX($M$2:M809)+1,0)</f>
        <v>808</v>
      </c>
      <c r="N810" s="290" t="s">
        <v>2989</v>
      </c>
      <c r="O810" s="305" t="s">
        <v>2990</v>
      </c>
      <c r="Q810" s="292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0" t="s">
        <v>2989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0" t="s">
        <v>2989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0" t="s">
        <v>2989</v>
      </c>
      <c r="Z810" t="str">
        <f>IFERROR(VLOOKUP(ROWS($Z$3:Z810),$X$3:$Y$992,2,0),"")</f>
        <v>Sociální služby poskytované dětem</v>
      </c>
    </row>
    <row r="811" spans="13:26">
      <c r="M811" s="289">
        <f>IF(ISNUMBER(SEARCH(ZAKL_DATA!$B$29,N811)),MAX($M$2:M810)+1,0)</f>
        <v>809</v>
      </c>
      <c r="N811" s="290" t="s">
        <v>2991</v>
      </c>
      <c r="O811" s="305" t="s">
        <v>2992</v>
      </c>
      <c r="Q811" s="292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0" t="s">
        <v>2991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0" t="s">
        <v>2991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0" t="s">
        <v>2991</v>
      </c>
      <c r="Z811" t="str">
        <f>IFERROR(VLOOKUP(ROWS($Z$3:Z811),$X$3:$Y$992,2,0),"")</f>
        <v>Ostatní ambulantní nebo terénní sociální služby j. n.</v>
      </c>
    </row>
    <row r="812" spans="13:26">
      <c r="M812" s="289">
        <f>IF(ISNUMBER(SEARCH(ZAKL_DATA!$B$29,N812)),MAX($M$2:M811)+1,0)</f>
        <v>810</v>
      </c>
      <c r="N812" s="290" t="s">
        <v>2993</v>
      </c>
      <c r="O812" s="305" t="s">
        <v>2994</v>
      </c>
      <c r="Q812" s="292" t="str">
        <f>IFERROR(VLOOKUP(ROWS($Q$3:Q812),$M$3:$N$992,2,0),"")</f>
        <v>Scénická umění</v>
      </c>
      <c r="R812">
        <f>IF(ISNUMBER(SEARCH('1Př1'!$A$32,N812)),MAX($M$2:M811)+1,0)</f>
        <v>810</v>
      </c>
      <c r="S812" s="290" t="s">
        <v>2993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0" t="s">
        <v>2993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0" t="s">
        <v>2993</v>
      </c>
      <c r="Z812" t="str">
        <f>IFERROR(VLOOKUP(ROWS($Z$3:Z812),$X$3:$Y$992,2,0),"")</f>
        <v>Scénická umění</v>
      </c>
    </row>
    <row r="813" spans="13:26">
      <c r="M813" s="289">
        <f>IF(ISNUMBER(SEARCH(ZAKL_DATA!$B$29,N813)),MAX($M$2:M812)+1,0)</f>
        <v>811</v>
      </c>
      <c r="N813" s="290" t="s">
        <v>2995</v>
      </c>
      <c r="O813" s="305" t="s">
        <v>2996</v>
      </c>
      <c r="Q813" s="292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0" t="s">
        <v>2995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0" t="s">
        <v>2995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0" t="s">
        <v>2995</v>
      </c>
      <c r="Z813" t="str">
        <f>IFERROR(VLOOKUP(ROWS($Z$3:Z813),$X$3:$Y$992,2,0),"")</f>
        <v>Podpůrné činnosti pro scénická umění</v>
      </c>
    </row>
    <row r="814" spans="13:26">
      <c r="M814" s="289">
        <f>IF(ISNUMBER(SEARCH(ZAKL_DATA!$B$29,N814)),MAX($M$2:M813)+1,0)</f>
        <v>812</v>
      </c>
      <c r="N814" s="290" t="s">
        <v>2997</v>
      </c>
      <c r="O814" s="305" t="s">
        <v>2998</v>
      </c>
      <c r="Q814" s="292" t="str">
        <f>IFERROR(VLOOKUP(ROWS($Q$3:Q814),$M$3:$N$992,2,0),"")</f>
        <v>Umělecká tvorba</v>
      </c>
      <c r="R814">
        <f>IF(ISNUMBER(SEARCH('1Př1'!$A$32,N814)),MAX($M$2:M813)+1,0)</f>
        <v>812</v>
      </c>
      <c r="S814" s="290" t="s">
        <v>2997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0" t="s">
        <v>2997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0" t="s">
        <v>2997</v>
      </c>
      <c r="Z814" t="str">
        <f>IFERROR(VLOOKUP(ROWS($Z$3:Z814),$X$3:$Y$992,2,0),"")</f>
        <v>Umělecká tvorba</v>
      </c>
    </row>
    <row r="815" spans="13:26">
      <c r="M815" s="289">
        <f>IF(ISNUMBER(SEARCH(ZAKL_DATA!$B$29,N815)),MAX($M$2:M814)+1,0)</f>
        <v>813</v>
      </c>
      <c r="N815" s="290" t="s">
        <v>2999</v>
      </c>
      <c r="O815" s="305" t="s">
        <v>3000</v>
      </c>
      <c r="Q815" s="292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0" t="s">
        <v>2999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0" t="s">
        <v>2999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0" t="s">
        <v>2999</v>
      </c>
      <c r="Z815" t="str">
        <f>IFERROR(VLOOKUP(ROWS($Z$3:Z815),$X$3:$Y$992,2,0),"")</f>
        <v>Provozování kulturních zařízení</v>
      </c>
    </row>
    <row r="816" spans="13:26">
      <c r="M816" s="289">
        <f>IF(ISNUMBER(SEARCH(ZAKL_DATA!$B$29,N816)),MAX($M$2:M815)+1,0)</f>
        <v>814</v>
      </c>
      <c r="N816" s="290" t="s">
        <v>3001</v>
      </c>
      <c r="O816" s="305" t="s">
        <v>3002</v>
      </c>
      <c r="Q816" s="292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0" t="s">
        <v>3001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0" t="s">
        <v>3001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0" t="s">
        <v>3001</v>
      </c>
      <c r="Z816" t="str">
        <f>IFERROR(VLOOKUP(ROWS($Z$3:Z816),$X$3:$Y$992,2,0),"")</f>
        <v>Činnosti knihoven a archivů</v>
      </c>
    </row>
    <row r="817" spans="13:26">
      <c r="M817" s="289">
        <f>IF(ISNUMBER(SEARCH(ZAKL_DATA!$B$29,N817)),MAX($M$2:M816)+1,0)</f>
        <v>815</v>
      </c>
      <c r="N817" s="290" t="s">
        <v>3003</v>
      </c>
      <c r="O817" s="305" t="s">
        <v>3004</v>
      </c>
      <c r="Q817" s="292" t="str">
        <f>IFERROR(VLOOKUP(ROWS($Q$3:Q817),$M$3:$N$992,2,0),"")</f>
        <v>Činnosti muzeí</v>
      </c>
      <c r="R817">
        <f>IF(ISNUMBER(SEARCH('1Př1'!$A$32,N817)),MAX($M$2:M816)+1,0)</f>
        <v>815</v>
      </c>
      <c r="S817" s="290" t="s">
        <v>3003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0" t="s">
        <v>3003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0" t="s">
        <v>3003</v>
      </c>
      <c r="Z817" t="str">
        <f>IFERROR(VLOOKUP(ROWS($Z$3:Z817),$X$3:$Y$992,2,0),"")</f>
        <v>Činnosti muzeí</v>
      </c>
    </row>
    <row r="818" spans="13:26">
      <c r="M818" s="289">
        <f>IF(ISNUMBER(SEARCH(ZAKL_DATA!$B$29,N818)),MAX($M$2:M817)+1,0)</f>
        <v>816</v>
      </c>
      <c r="N818" s="290" t="s">
        <v>3005</v>
      </c>
      <c r="O818" s="305" t="s">
        <v>3006</v>
      </c>
      <c r="Q818" s="292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0" t="s">
        <v>3005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0" t="s">
        <v>3005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0" t="s">
        <v>3005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89">
        <f>IF(ISNUMBER(SEARCH(ZAKL_DATA!$B$29,N819)),MAX($M$2:M818)+1,0)</f>
        <v>817</v>
      </c>
      <c r="N819" s="290" t="s">
        <v>3007</v>
      </c>
      <c r="O819" s="305" t="s">
        <v>3008</v>
      </c>
      <c r="Q819" s="292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0" t="s">
        <v>3007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0" t="s">
        <v>3007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0" t="s">
        <v>3007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89">
        <f>IF(ISNUMBER(SEARCH(ZAKL_DATA!$B$29,N820)),MAX($M$2:M819)+1,0)</f>
        <v>818</v>
      </c>
      <c r="N820" s="290" t="s">
        <v>3009</v>
      </c>
      <c r="O820" s="305" t="s">
        <v>3010</v>
      </c>
      <c r="Q820" s="292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0" t="s">
        <v>3009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0" t="s">
        <v>3009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0" t="s">
        <v>3009</v>
      </c>
      <c r="Z820" t="str">
        <f>IFERROR(VLOOKUP(ROWS($Z$3:Z820),$X$3:$Y$992,2,0),"")</f>
        <v>Provozování sportovních zařízení</v>
      </c>
    </row>
    <row r="821" spans="13:26">
      <c r="M821" s="289">
        <f>IF(ISNUMBER(SEARCH(ZAKL_DATA!$B$29,N821)),MAX($M$2:M820)+1,0)</f>
        <v>819</v>
      </c>
      <c r="N821" s="290" t="s">
        <v>3011</v>
      </c>
      <c r="O821" s="305" t="s">
        <v>3012</v>
      </c>
      <c r="Q821" s="292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0" t="s">
        <v>3011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0" t="s">
        <v>3011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0" t="s">
        <v>3011</v>
      </c>
      <c r="Z821" t="str">
        <f>IFERROR(VLOOKUP(ROWS($Z$3:Z821),$X$3:$Y$992,2,0),"")</f>
        <v>Činnosti sportovních klubů</v>
      </c>
    </row>
    <row r="822" spans="13:26">
      <c r="M822" s="289">
        <f>IF(ISNUMBER(SEARCH(ZAKL_DATA!$B$29,N822)),MAX($M$2:M821)+1,0)</f>
        <v>820</v>
      </c>
      <c r="N822" s="290" t="s">
        <v>3013</v>
      </c>
      <c r="O822" s="305" t="s">
        <v>3014</v>
      </c>
      <c r="Q822" s="292" t="str">
        <f>IFERROR(VLOOKUP(ROWS($Q$3:Q822),$M$3:$N$992,2,0),"")</f>
        <v>Činnosti fitcenter</v>
      </c>
      <c r="R822">
        <f>IF(ISNUMBER(SEARCH('1Př1'!$A$32,N822)),MAX($M$2:M821)+1,0)</f>
        <v>820</v>
      </c>
      <c r="S822" s="290" t="s">
        <v>3013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0" t="s">
        <v>3013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0" t="s">
        <v>3013</v>
      </c>
      <c r="Z822" t="str">
        <f>IFERROR(VLOOKUP(ROWS($Z$3:Z822),$X$3:$Y$992,2,0),"")</f>
        <v>Činnosti fitcenter</v>
      </c>
    </row>
    <row r="823" spans="13:26">
      <c r="M823" s="289">
        <f>IF(ISNUMBER(SEARCH(ZAKL_DATA!$B$29,N823)),MAX($M$2:M822)+1,0)</f>
        <v>821</v>
      </c>
      <c r="N823" s="290" t="s">
        <v>3015</v>
      </c>
      <c r="O823" s="305" t="s">
        <v>3016</v>
      </c>
      <c r="Q823" s="292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0" t="s">
        <v>3015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0" t="s">
        <v>3015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0" t="s">
        <v>3015</v>
      </c>
      <c r="Z823" t="str">
        <f>IFERROR(VLOOKUP(ROWS($Z$3:Z823),$X$3:$Y$992,2,0),"")</f>
        <v>Ostatní sportovní činnosti</v>
      </c>
    </row>
    <row r="824" spans="13:26">
      <c r="M824" s="289">
        <f>IF(ISNUMBER(SEARCH(ZAKL_DATA!$B$29,N824)),MAX($M$2:M823)+1,0)</f>
        <v>822</v>
      </c>
      <c r="N824" s="290" t="s">
        <v>3017</v>
      </c>
      <c r="O824" s="305" t="s">
        <v>3018</v>
      </c>
      <c r="Q824" s="292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0" t="s">
        <v>3017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0" t="s">
        <v>3017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0" t="s">
        <v>3017</v>
      </c>
      <c r="Z824" t="str">
        <f>IFERROR(VLOOKUP(ROWS($Z$3:Z824),$X$3:$Y$992,2,0),"")</f>
        <v>Činnosti lunaparků a zábavních parků</v>
      </c>
    </row>
    <row r="825" spans="13:26">
      <c r="M825" s="289">
        <f>IF(ISNUMBER(SEARCH(ZAKL_DATA!$B$29,N825)),MAX($M$2:M824)+1,0)</f>
        <v>823</v>
      </c>
      <c r="N825" s="290" t="s">
        <v>3019</v>
      </c>
      <c r="O825" s="305" t="s">
        <v>3020</v>
      </c>
      <c r="Q825" s="292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0" t="s">
        <v>3019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0" t="s">
        <v>3019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0" t="s">
        <v>3019</v>
      </c>
      <c r="Z825" t="str">
        <f>IFERROR(VLOOKUP(ROWS($Z$3:Z825),$X$3:$Y$992,2,0),"")</f>
        <v>Ostatní zábavní a rekreační činnosti j. n.</v>
      </c>
    </row>
    <row r="826" spans="13:26">
      <c r="M826" s="289">
        <f>IF(ISNUMBER(SEARCH(ZAKL_DATA!$B$29,N826)),MAX($M$2:M825)+1,0)</f>
        <v>824</v>
      </c>
      <c r="N826" s="290" t="s">
        <v>3021</v>
      </c>
      <c r="O826" s="305" t="s">
        <v>3022</v>
      </c>
      <c r="Q826" s="292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0" t="s">
        <v>3021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0" t="s">
        <v>3021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0" t="s">
        <v>3021</v>
      </c>
      <c r="Z826" t="str">
        <f>IFERROR(VLOOKUP(ROWS($Z$3:Z826),$X$3:$Y$992,2,0),"")</f>
        <v>Činnosti podnikatelských a zaměstnavatelských organizací</v>
      </c>
    </row>
    <row r="827" spans="13:26">
      <c r="M827" s="289">
        <f>IF(ISNUMBER(SEARCH(ZAKL_DATA!$B$29,N827)),MAX($M$2:M826)+1,0)</f>
        <v>825</v>
      </c>
      <c r="N827" s="290" t="s">
        <v>3023</v>
      </c>
      <c r="O827" s="305" t="s">
        <v>3024</v>
      </c>
      <c r="Q827" s="292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0" t="s">
        <v>3023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0" t="s">
        <v>3023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0" t="s">
        <v>3023</v>
      </c>
      <c r="Z827" t="str">
        <f>IFERROR(VLOOKUP(ROWS($Z$3:Z827),$X$3:$Y$992,2,0),"")</f>
        <v>Činnosti profesních organizací</v>
      </c>
    </row>
    <row r="828" spans="13:26">
      <c r="M828" s="289">
        <f>IF(ISNUMBER(SEARCH(ZAKL_DATA!$B$29,N828)),MAX($M$2:M827)+1,0)</f>
        <v>826</v>
      </c>
      <c r="N828" s="290" t="s">
        <v>3025</v>
      </c>
      <c r="O828" s="305" t="s">
        <v>3026</v>
      </c>
      <c r="Q828" s="292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0" t="s">
        <v>3025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0" t="s">
        <v>3025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0" t="s">
        <v>3025</v>
      </c>
      <c r="Z828" t="str">
        <f>IFERROR(VLOOKUP(ROWS($Z$3:Z828),$X$3:$Y$992,2,0),"")</f>
        <v>Činnosti náboženských organizací</v>
      </c>
    </row>
    <row r="829" spans="13:26">
      <c r="M829" s="289">
        <f>IF(ISNUMBER(SEARCH(ZAKL_DATA!$B$29,N829)),MAX($M$2:M828)+1,0)</f>
        <v>827</v>
      </c>
      <c r="N829" s="290" t="s">
        <v>3027</v>
      </c>
      <c r="O829" s="305" t="s">
        <v>3028</v>
      </c>
      <c r="Q829" s="292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0" t="s">
        <v>3027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0" t="s">
        <v>3027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0" t="s">
        <v>3027</v>
      </c>
      <c r="Z829" t="str">
        <f>IFERROR(VLOOKUP(ROWS($Z$3:Z829),$X$3:$Y$992,2,0),"")</f>
        <v>Činnosti politických stran a organizací</v>
      </c>
    </row>
    <row r="830" spans="13:26">
      <c r="M830" s="289">
        <f>IF(ISNUMBER(SEARCH(ZAKL_DATA!$B$29,N830)),MAX($M$2:M829)+1,0)</f>
        <v>828</v>
      </c>
      <c r="N830" s="290" t="s">
        <v>3029</v>
      </c>
      <c r="O830" s="305" t="s">
        <v>3030</v>
      </c>
      <c r="Q830" s="292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0" t="s">
        <v>3029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0" t="s">
        <v>3029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0" t="s">
        <v>3029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89">
        <f>IF(ISNUMBER(SEARCH(ZAKL_DATA!$B$29,N831)),MAX($M$2:M830)+1,0)</f>
        <v>829</v>
      </c>
      <c r="N831" s="290" t="s">
        <v>3031</v>
      </c>
      <c r="O831" s="305" t="s">
        <v>3032</v>
      </c>
      <c r="Q831" s="292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0" t="s">
        <v>3031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0" t="s">
        <v>3031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0" t="s">
        <v>3031</v>
      </c>
      <c r="Z831" t="str">
        <f>IFERROR(VLOOKUP(ROWS($Z$3:Z831),$X$3:$Y$992,2,0),"")</f>
        <v>Opravy počítačů a periferních zařízení</v>
      </c>
    </row>
    <row r="832" spans="13:26">
      <c r="M832" s="289">
        <f>IF(ISNUMBER(SEARCH(ZAKL_DATA!$B$29,N832)),MAX($M$2:M831)+1,0)</f>
        <v>830</v>
      </c>
      <c r="N832" s="290" t="s">
        <v>3033</v>
      </c>
      <c r="O832" s="305" t="s">
        <v>3034</v>
      </c>
      <c r="Q832" s="292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0" t="s">
        <v>3033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0" t="s">
        <v>3033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0" t="s">
        <v>3033</v>
      </c>
      <c r="Z832" t="str">
        <f>IFERROR(VLOOKUP(ROWS($Z$3:Z832),$X$3:$Y$992,2,0),"")</f>
        <v>Opravy komunikačních zařízení</v>
      </c>
    </row>
    <row r="833" spans="13:26">
      <c r="M833" s="289">
        <f>IF(ISNUMBER(SEARCH(ZAKL_DATA!$B$29,N833)),MAX($M$2:M832)+1,0)</f>
        <v>831</v>
      </c>
      <c r="N833" s="290" t="s">
        <v>3035</v>
      </c>
      <c r="O833" s="305" t="s">
        <v>3036</v>
      </c>
      <c r="Q833" s="292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0" t="s">
        <v>3035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0" t="s">
        <v>3035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0" t="s">
        <v>3035</v>
      </c>
      <c r="Z833" t="str">
        <f>IFERROR(VLOOKUP(ROWS($Z$3:Z833),$X$3:$Y$992,2,0),"")</f>
        <v>Opravy spotřební elektroniky</v>
      </c>
    </row>
    <row r="834" spans="13:26">
      <c r="M834" s="289">
        <f>IF(ISNUMBER(SEARCH(ZAKL_DATA!$B$29,N834)),MAX($M$2:M833)+1,0)</f>
        <v>832</v>
      </c>
      <c r="N834" s="290" t="s">
        <v>3037</v>
      </c>
      <c r="O834" s="305" t="s">
        <v>3038</v>
      </c>
      <c r="Q834" s="292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0" t="s">
        <v>3037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0" t="s">
        <v>3037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0" t="s">
        <v>3037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89">
        <f>IF(ISNUMBER(SEARCH(ZAKL_DATA!$B$29,N835)),MAX($M$2:M834)+1,0)</f>
        <v>833</v>
      </c>
      <c r="N835" s="290" t="s">
        <v>3039</v>
      </c>
      <c r="O835" s="305" t="s">
        <v>3040</v>
      </c>
      <c r="Q835" s="292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0" t="s">
        <v>3039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0" t="s">
        <v>3039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0" t="s">
        <v>3039</v>
      </c>
      <c r="Z835" t="str">
        <f>IFERROR(VLOOKUP(ROWS($Z$3:Z835),$X$3:$Y$992,2,0),"")</f>
        <v>Opravy obuvi a kožených výrobků</v>
      </c>
    </row>
    <row r="836" spans="13:26">
      <c r="M836" s="289">
        <f>IF(ISNUMBER(SEARCH(ZAKL_DATA!$B$29,N836)),MAX($M$2:M835)+1,0)</f>
        <v>834</v>
      </c>
      <c r="N836" s="290" t="s">
        <v>3041</v>
      </c>
      <c r="O836" s="305" t="s">
        <v>3042</v>
      </c>
      <c r="Q836" s="292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0" t="s">
        <v>3041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0" t="s">
        <v>3041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0" t="s">
        <v>3041</v>
      </c>
      <c r="Z836" t="str">
        <f>IFERROR(VLOOKUP(ROWS($Z$3:Z836),$X$3:$Y$992,2,0),"")</f>
        <v>Opravy nábytku a bytového zařízení</v>
      </c>
    </row>
    <row r="837" spans="13:26">
      <c r="M837" s="289">
        <f>IF(ISNUMBER(SEARCH(ZAKL_DATA!$B$29,N837)),MAX($M$2:M836)+1,0)</f>
        <v>835</v>
      </c>
      <c r="N837" s="290" t="s">
        <v>3043</v>
      </c>
      <c r="O837" s="305" t="s">
        <v>3044</v>
      </c>
      <c r="Q837" s="292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0" t="s">
        <v>3043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0" t="s">
        <v>3043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0" t="s">
        <v>3043</v>
      </c>
      <c r="Z837" t="str">
        <f>IFERROR(VLOOKUP(ROWS($Z$3:Z837),$X$3:$Y$992,2,0),"")</f>
        <v>Opravy hodin, hodinek a klenotnických výrobků</v>
      </c>
    </row>
    <row r="838" spans="13:26">
      <c r="M838" s="289">
        <f>IF(ISNUMBER(SEARCH(ZAKL_DATA!$B$29,N838)),MAX($M$2:M837)+1,0)</f>
        <v>836</v>
      </c>
      <c r="N838" s="290" t="s">
        <v>3045</v>
      </c>
      <c r="O838" s="305" t="s">
        <v>3046</v>
      </c>
      <c r="Q838" s="292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0" t="s">
        <v>3045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0" t="s">
        <v>3045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0" t="s">
        <v>3045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89">
        <f>IF(ISNUMBER(SEARCH(ZAKL_DATA!$B$29,N839)),MAX($M$2:M838)+1,0)</f>
        <v>837</v>
      </c>
      <c r="N839" s="290" t="s">
        <v>3047</v>
      </c>
      <c r="O839" s="305" t="s">
        <v>3048</v>
      </c>
      <c r="Q839" s="292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0" t="s">
        <v>3047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0" t="s">
        <v>3047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0" t="s">
        <v>3047</v>
      </c>
      <c r="Z839" t="str">
        <f>IFERROR(VLOOKUP(ROWS($Z$3:Z839),$X$3:$Y$992,2,0),"")</f>
        <v>Praní a chemické čištění textilních a kožešinových výrobků</v>
      </c>
    </row>
    <row r="840" spans="13:26">
      <c r="M840" s="289">
        <f>IF(ISNUMBER(SEARCH(ZAKL_DATA!$B$29,N840)),MAX($M$2:M839)+1,0)</f>
        <v>838</v>
      </c>
      <c r="N840" s="290" t="s">
        <v>3049</v>
      </c>
      <c r="O840" s="305" t="s">
        <v>3050</v>
      </c>
      <c r="Q840" s="292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0" t="s">
        <v>3049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0" t="s">
        <v>3049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0" t="s">
        <v>3049</v>
      </c>
      <c r="Z840" t="str">
        <f>IFERROR(VLOOKUP(ROWS($Z$3:Z840),$X$3:$Y$992,2,0),"")</f>
        <v>Kadeřnické, kosmetické a podobné činnosti</v>
      </c>
    </row>
    <row r="841" spans="13:26">
      <c r="M841" s="289">
        <f>IF(ISNUMBER(SEARCH(ZAKL_DATA!$B$29,N841)),MAX($M$2:M840)+1,0)</f>
        <v>839</v>
      </c>
      <c r="N841" s="290" t="s">
        <v>3051</v>
      </c>
      <c r="O841" s="305" t="s">
        <v>3052</v>
      </c>
      <c r="Q841" s="292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0" t="s">
        <v>3051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0" t="s">
        <v>3051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0" t="s">
        <v>3051</v>
      </c>
      <c r="Z841" t="str">
        <f>IFERROR(VLOOKUP(ROWS($Z$3:Z841),$X$3:$Y$992,2,0),"")</f>
        <v>Pohřební a související činnosti</v>
      </c>
    </row>
    <row r="842" spans="13:26">
      <c r="M842" s="289">
        <f>IF(ISNUMBER(SEARCH(ZAKL_DATA!$B$29,N842)),MAX($M$2:M841)+1,0)</f>
        <v>840</v>
      </c>
      <c r="N842" s="290" t="s">
        <v>3053</v>
      </c>
      <c r="O842" s="305" t="s">
        <v>3054</v>
      </c>
      <c r="Q842" s="292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0" t="s">
        <v>3053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0" t="s">
        <v>3053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0" t="s">
        <v>3053</v>
      </c>
      <c r="Z842" t="str">
        <f>IFERROR(VLOOKUP(ROWS($Z$3:Z842),$X$3:$Y$992,2,0),"")</f>
        <v>Činnosti pro osobní a fyzickou pohodu</v>
      </c>
    </row>
    <row r="843" spans="13:26">
      <c r="M843" s="289">
        <f>IF(ISNUMBER(SEARCH(ZAKL_DATA!$B$29,N843)),MAX($M$2:M842)+1,0)</f>
        <v>841</v>
      </c>
      <c r="N843" s="290" t="s">
        <v>3055</v>
      </c>
      <c r="O843" s="305" t="s">
        <v>3056</v>
      </c>
      <c r="Q843" s="292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0" t="s">
        <v>3055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0" t="s">
        <v>3055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0" t="s">
        <v>3055</v>
      </c>
      <c r="Z843" t="str">
        <f>IFERROR(VLOOKUP(ROWS($Z$3:Z843),$X$3:$Y$992,2,0),"")</f>
        <v>Poskytování ostatních osobních služeb j. n.</v>
      </c>
    </row>
    <row r="844" spans="13:26">
      <c r="M844" s="289">
        <f>IF(ISNUMBER(SEARCH(ZAKL_DATA!$B$29,N844)),MAX($M$2:M843)+1,0)</f>
        <v>842</v>
      </c>
      <c r="N844" s="290" t="s">
        <v>3057</v>
      </c>
      <c r="O844" s="305" t="s">
        <v>2147</v>
      </c>
      <c r="Q844" s="292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0" t="s">
        <v>3057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0" t="s">
        <v>3057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0" t="s">
        <v>3057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89">
        <f>IF(ISNUMBER(SEARCH(ZAKL_DATA!$B$29,N845)),MAX($M$2:M844)+1,0)</f>
        <v>843</v>
      </c>
      <c r="N845" s="290" t="s">
        <v>3058</v>
      </c>
      <c r="O845" s="305" t="s">
        <v>3059</v>
      </c>
      <c r="Q845" s="292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0" t="s">
        <v>3058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0" t="s">
        <v>3058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0" t="s">
        <v>3058</v>
      </c>
      <c r="Z845" t="str">
        <f>IFERROR(VLOOKUP(ROWS($Z$3:Z845),$X$3:$Y$992,2,0),"")</f>
        <v>Výroba obuvi s usňovým svrškem</v>
      </c>
    </row>
    <row r="846" spans="13:26">
      <c r="M846" s="289">
        <f>IF(ISNUMBER(SEARCH(ZAKL_DATA!$B$29,N846)),MAX($M$2:M845)+1,0)</f>
        <v>844</v>
      </c>
      <c r="N846" s="290" t="s">
        <v>3060</v>
      </c>
      <c r="O846" s="305" t="s">
        <v>3061</v>
      </c>
      <c r="Q846" s="292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0" t="s">
        <v>3060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0" t="s">
        <v>3060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0" t="s">
        <v>3060</v>
      </c>
      <c r="Z846" t="str">
        <f>IFERROR(VLOOKUP(ROWS($Z$3:Z846),$X$3:$Y$992,2,0),"")</f>
        <v>Výroba obuvi z ostatních materiálů</v>
      </c>
    </row>
    <row r="847" spans="13:26">
      <c r="M847" s="289">
        <f>IF(ISNUMBER(SEARCH(ZAKL_DATA!$B$29,N847)),MAX($M$2:M846)+1,0)</f>
        <v>845</v>
      </c>
      <c r="N847" s="290" t="s">
        <v>3062</v>
      </c>
      <c r="O847" s="305" t="s">
        <v>3063</v>
      </c>
      <c r="Q847" s="292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0" t="s">
        <v>3062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0" t="s">
        <v>3062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0" t="s">
        <v>3062</v>
      </c>
      <c r="Z847" t="str">
        <f>IFERROR(VLOOKUP(ROWS($Z$3:Z847),$X$3:$Y$992,2,0),"")</f>
        <v>Výroba chemických buničin</v>
      </c>
    </row>
    <row r="848" spans="13:26">
      <c r="M848" s="289">
        <f>IF(ISNUMBER(SEARCH(ZAKL_DATA!$B$29,N848)),MAX($M$2:M847)+1,0)</f>
        <v>846</v>
      </c>
      <c r="N848" s="290" t="s">
        <v>3064</v>
      </c>
      <c r="O848" s="305" t="s">
        <v>3065</v>
      </c>
      <c r="Q848" s="292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0" t="s">
        <v>3064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0" t="s">
        <v>3064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0" t="s">
        <v>3064</v>
      </c>
      <c r="Z848" t="str">
        <f>IFERROR(VLOOKUP(ROWS($Z$3:Z848),$X$3:$Y$992,2,0),"")</f>
        <v>Výroba mechanických vláknin</v>
      </c>
    </row>
    <row r="849" spans="13:26">
      <c r="M849" s="289">
        <f>IF(ISNUMBER(SEARCH(ZAKL_DATA!$B$29,N849)),MAX($M$2:M848)+1,0)</f>
        <v>847</v>
      </c>
      <c r="N849" s="290" t="s">
        <v>3066</v>
      </c>
      <c r="O849" s="305" t="s">
        <v>3067</v>
      </c>
      <c r="Q849" s="292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0" t="s">
        <v>3066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0" t="s">
        <v>3066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0" t="s">
        <v>3066</v>
      </c>
      <c r="Z849" t="str">
        <f>IFERROR(VLOOKUP(ROWS($Z$3:Z849),$X$3:$Y$992,2,0),"")</f>
        <v>Výroba ostatních papírenských vláknin</v>
      </c>
    </row>
    <row r="850" spans="13:26">
      <c r="M850" s="289">
        <f>IF(ISNUMBER(SEARCH(ZAKL_DATA!$B$29,N850)),MAX($M$2:M849)+1,0)</f>
        <v>848</v>
      </c>
      <c r="N850" s="290" t="s">
        <v>3068</v>
      </c>
      <c r="O850" s="305" t="s">
        <v>3069</v>
      </c>
      <c r="Q850" s="292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0" t="s">
        <v>3068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0" t="s">
        <v>3068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0" t="s">
        <v>3068</v>
      </c>
      <c r="Z850" t="str">
        <f>IFERROR(VLOOKUP(ROWS($Z$3:Z850),$X$3:$Y$992,2,0),"")</f>
        <v>Výroba bioet.(biolihu)pro pohon motorů a pro výr.směsí a komp.paliv</v>
      </c>
    </row>
    <row r="851" spans="13:26">
      <c r="M851" s="289">
        <f>IF(ISNUMBER(SEARCH(ZAKL_DATA!$B$29,N851)),MAX($M$2:M850)+1,0)</f>
        <v>849</v>
      </c>
      <c r="N851" s="290" t="s">
        <v>3070</v>
      </c>
      <c r="O851" s="305" t="s">
        <v>3071</v>
      </c>
      <c r="Q851" s="292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0" t="s">
        <v>3070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0" t="s">
        <v>3070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0" t="s">
        <v>3070</v>
      </c>
      <c r="Z851" t="str">
        <f>IFERROR(VLOOKUP(ROWS($Z$3:Z851),$X$3:$Y$992,2,0),"")</f>
        <v>Výroba ostatních základních organických chemických látek</v>
      </c>
    </row>
    <row r="852" spans="13:26">
      <c r="M852" s="289">
        <f>IF(ISNUMBER(SEARCH(ZAKL_DATA!$B$29,N852)),MAX($M$2:M851)+1,0)</f>
        <v>850</v>
      </c>
      <c r="N852" s="290" t="s">
        <v>3072</v>
      </c>
      <c r="O852" s="305" t="s">
        <v>3073</v>
      </c>
      <c r="Q852" s="292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0" t="s">
        <v>3072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0" t="s">
        <v>3072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0" t="s">
        <v>3072</v>
      </c>
      <c r="Z852" t="str">
        <f>IFERROR(VLOOKUP(ROWS($Z$3:Z852),$X$3:$Y$992,2,0),"")</f>
        <v>Výr.metylesterů a etylesterů mast.kys.pro pohon motorů a pro výr.sm.p.</v>
      </c>
    </row>
    <row r="853" spans="13:26">
      <c r="M853" s="289">
        <f>IF(ISNUMBER(SEARCH(ZAKL_DATA!$B$29,N853)),MAX($M$2:M852)+1,0)</f>
        <v>851</v>
      </c>
      <c r="N853" s="290" t="s">
        <v>3074</v>
      </c>
      <c r="O853" s="305" t="s">
        <v>3075</v>
      </c>
      <c r="Q853" s="292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0" t="s">
        <v>3074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0" t="s">
        <v>3074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0" t="s">
        <v>3074</v>
      </c>
      <c r="Z853" t="str">
        <f>IFERROR(VLOOKUP(ROWS($Z$3:Z853),$X$3:$Y$992,2,0),"")</f>
        <v>Výroba jiných chemických výrobků j. n.</v>
      </c>
    </row>
    <row r="854" spans="13:26">
      <c r="M854" s="289">
        <f>IF(ISNUMBER(SEARCH(ZAKL_DATA!$B$29,N854)),MAX($M$2:M853)+1,0)</f>
        <v>852</v>
      </c>
      <c r="N854" s="290" t="s">
        <v>3076</v>
      </c>
      <c r="O854" s="305" t="s">
        <v>3077</v>
      </c>
      <c r="Q854" s="292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0" t="s">
        <v>3076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0" t="s">
        <v>3076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0" t="s">
        <v>3076</v>
      </c>
      <c r="Z854" t="str">
        <f>IFERROR(VLOOKUP(ROWS($Z$3:Z854),$X$3:$Y$992,2,0),"")</f>
        <v>Výroba surového železa, oceli a feroslitin</v>
      </c>
    </row>
    <row r="855" spans="13:26">
      <c r="M855" s="289">
        <f>IF(ISNUMBER(SEARCH(ZAKL_DATA!$B$29,N855)),MAX($M$2:M854)+1,0)</f>
        <v>853</v>
      </c>
      <c r="N855" s="290" t="s">
        <v>3078</v>
      </c>
      <c r="O855" s="305" t="s">
        <v>3079</v>
      </c>
      <c r="Q855" s="292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0" t="s">
        <v>3078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0" t="s">
        <v>3078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0" t="s">
        <v>3078</v>
      </c>
      <c r="Z855" t="str">
        <f>IFERROR(VLOOKUP(ROWS($Z$3:Z855),$X$3:$Y$992,2,0),"")</f>
        <v>Výroba plochých výrobků (kromě pásky za studena)</v>
      </c>
    </row>
    <row r="856" spans="13:26">
      <c r="M856" s="289">
        <f>IF(ISNUMBER(SEARCH(ZAKL_DATA!$B$29,N856)),MAX($M$2:M855)+1,0)</f>
        <v>854</v>
      </c>
      <c r="N856" s="290" t="s">
        <v>3080</v>
      </c>
      <c r="O856" s="305" t="s">
        <v>3081</v>
      </c>
      <c r="Q856" s="292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0" t="s">
        <v>3080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0" t="s">
        <v>3080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0" t="s">
        <v>3080</v>
      </c>
      <c r="Z856" t="str">
        <f>IFERROR(VLOOKUP(ROWS($Z$3:Z856),$X$3:$Y$992,2,0),"")</f>
        <v>Tváření výrobků za tepla</v>
      </c>
    </row>
    <row r="857" spans="13:26">
      <c r="M857" s="289">
        <f>IF(ISNUMBER(SEARCH(ZAKL_DATA!$B$29,N857)),MAX($M$2:M856)+1,0)</f>
        <v>855</v>
      </c>
      <c r="N857" s="290" t="s">
        <v>3082</v>
      </c>
      <c r="O857" s="305" t="s">
        <v>3083</v>
      </c>
      <c r="Q857" s="292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0" t="s">
        <v>3082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0" t="s">
        <v>3082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0" t="s">
        <v>3082</v>
      </c>
      <c r="Z857" t="str">
        <f>IFERROR(VLOOKUP(ROWS($Z$3:Z857),$X$3:$Y$992,2,0),"")</f>
        <v>Výroba odlitků z litiny s lupínkovým grafitem</v>
      </c>
    </row>
    <row r="858" spans="13:26">
      <c r="M858" s="289">
        <f>IF(ISNUMBER(SEARCH(ZAKL_DATA!$B$29,N858)),MAX($M$2:M857)+1,0)</f>
        <v>856</v>
      </c>
      <c r="N858" s="290" t="s">
        <v>3084</v>
      </c>
      <c r="O858" s="305" t="s">
        <v>3085</v>
      </c>
      <c r="Q858" s="292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0" t="s">
        <v>3084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0" t="s">
        <v>3084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0" t="s">
        <v>3084</v>
      </c>
      <c r="Z858" t="str">
        <f>IFERROR(VLOOKUP(ROWS($Z$3:Z858),$X$3:$Y$992,2,0),"")</f>
        <v>Výroba odlitků z litiny s kuličkovým grafitem</v>
      </c>
    </row>
    <row r="859" spans="13:26">
      <c r="M859" s="289">
        <f>IF(ISNUMBER(SEARCH(ZAKL_DATA!$B$29,N859)),MAX($M$2:M858)+1,0)</f>
        <v>857</v>
      </c>
      <c r="N859" s="290" t="s">
        <v>3086</v>
      </c>
      <c r="O859" s="305" t="s">
        <v>3087</v>
      </c>
      <c r="Q859" s="292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0" t="s">
        <v>3086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0" t="s">
        <v>3086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0" t="s">
        <v>3086</v>
      </c>
      <c r="Z859" t="str">
        <f>IFERROR(VLOOKUP(ROWS($Z$3:Z859),$X$3:$Y$992,2,0),"")</f>
        <v>Výroba ostatních odlitků z litiny</v>
      </c>
    </row>
    <row r="860" spans="13:26">
      <c r="M860" s="289">
        <f>IF(ISNUMBER(SEARCH(ZAKL_DATA!$B$29,N860)),MAX($M$2:M859)+1,0)</f>
        <v>858</v>
      </c>
      <c r="N860" s="290" t="s">
        <v>3088</v>
      </c>
      <c r="O860" s="305" t="s">
        <v>3089</v>
      </c>
      <c r="Q860" s="292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0" t="s">
        <v>3088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0" t="s">
        <v>3088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0" t="s">
        <v>3088</v>
      </c>
      <c r="Z860" t="str">
        <f>IFERROR(VLOOKUP(ROWS($Z$3:Z860),$X$3:$Y$992,2,0),"")</f>
        <v>Výroba odlitků z uhlíkatých ocelí</v>
      </c>
    </row>
    <row r="861" spans="13:26">
      <c r="M861" s="289">
        <f>IF(ISNUMBER(SEARCH(ZAKL_DATA!$B$29,N861)),MAX($M$2:M860)+1,0)</f>
        <v>859</v>
      </c>
      <c r="N861" s="290" t="s">
        <v>3090</v>
      </c>
      <c r="O861" s="305" t="s">
        <v>3091</v>
      </c>
      <c r="Q861" s="292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0" t="s">
        <v>3090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0" t="s">
        <v>3090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0" t="s">
        <v>3090</v>
      </c>
      <c r="Z861" t="str">
        <f>IFERROR(VLOOKUP(ROWS($Z$3:Z861),$X$3:$Y$992,2,0),"")</f>
        <v>Výroba odlitků z legovaných ocelí</v>
      </c>
    </row>
    <row r="862" spans="13:26">
      <c r="M862" s="289">
        <f>IF(ISNUMBER(SEARCH(ZAKL_DATA!$B$29,N862)),MAX($M$2:M861)+1,0)</f>
        <v>860</v>
      </c>
      <c r="N862" s="290" t="s">
        <v>3092</v>
      </c>
      <c r="O862" s="305" t="s">
        <v>3093</v>
      </c>
      <c r="Q862" s="292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0" t="s">
        <v>3092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0" t="s">
        <v>3092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0" t="s">
        <v>3092</v>
      </c>
      <c r="Z862" t="str">
        <f>IFERROR(VLOOKUP(ROWS($Z$3:Z862),$X$3:$Y$992,2,0),"")</f>
        <v>Opravy a údržba kolejových vozidel</v>
      </c>
    </row>
    <row r="863" spans="13:26">
      <c r="M863" s="289">
        <f>IF(ISNUMBER(SEARCH(ZAKL_DATA!$B$29,N863)),MAX($M$2:M862)+1,0)</f>
        <v>861</v>
      </c>
      <c r="N863" s="290" t="s">
        <v>3094</v>
      </c>
      <c r="O863" s="305" t="s">
        <v>3095</v>
      </c>
      <c r="Q863" s="292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0" t="s">
        <v>3094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0" t="s">
        <v>3094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0" t="s">
        <v>3094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89">
        <f>IF(ISNUMBER(SEARCH(ZAKL_DATA!$B$29,N864)),MAX($M$2:M863)+1,0)</f>
        <v>862</v>
      </c>
      <c r="N864" s="290" t="s">
        <v>3096</v>
      </c>
      <c r="O864" s="305" t="s">
        <v>1827</v>
      </c>
      <c r="Q864" s="292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0" t="s">
        <v>3096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0" t="s">
        <v>3096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0" t="s">
        <v>3096</v>
      </c>
      <c r="Z864" t="str">
        <f>IFERROR(VLOOKUP(ROWS($Z$3:Z864),$X$3:$Y$992,2,0),"")</f>
        <v>Výroba a rozvod tepla a klimatizovaného vzduchu,výroba ledu</v>
      </c>
    </row>
    <row r="865" spans="13:26">
      <c r="M865" s="289">
        <f>IF(ISNUMBER(SEARCH(ZAKL_DATA!$B$29,N865)),MAX($M$2:M864)+1,0)</f>
        <v>863</v>
      </c>
      <c r="N865" s="290" t="s">
        <v>3097</v>
      </c>
      <c r="O865" s="305" t="s">
        <v>3098</v>
      </c>
      <c r="Q865" s="292" t="str">
        <f>IFERROR(VLOOKUP(ROWS($Q$3:Q865),$M$3:$N$992,2,0),"")</f>
        <v>Výroba tepla</v>
      </c>
      <c r="R865">
        <f>IF(ISNUMBER(SEARCH('1Př1'!$A$32,N865)),MAX($M$2:M864)+1,0)</f>
        <v>863</v>
      </c>
      <c r="S865" s="290" t="s">
        <v>3097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0" t="s">
        <v>3097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0" t="s">
        <v>3097</v>
      </c>
      <c r="Z865" t="str">
        <f>IFERROR(VLOOKUP(ROWS($Z$3:Z865),$X$3:$Y$992,2,0),"")</f>
        <v>Výroba tepla</v>
      </c>
    </row>
    <row r="866" spans="13:26">
      <c r="M866" s="289">
        <f>IF(ISNUMBER(SEARCH(ZAKL_DATA!$B$29,N866)),MAX($M$2:M865)+1,0)</f>
        <v>864</v>
      </c>
      <c r="N866" s="290" t="s">
        <v>3099</v>
      </c>
      <c r="O866" s="305" t="s">
        <v>3100</v>
      </c>
      <c r="Q866" s="292" t="str">
        <f>IFERROR(VLOOKUP(ROWS($Q$3:Q866),$M$3:$N$992,2,0),"")</f>
        <v>Rozvod tepla</v>
      </c>
      <c r="R866">
        <f>IF(ISNUMBER(SEARCH('1Př1'!$A$32,N866)),MAX($M$2:M865)+1,0)</f>
        <v>864</v>
      </c>
      <c r="S866" s="290" t="s">
        <v>3099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0" t="s">
        <v>3099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0" t="s">
        <v>3099</v>
      </c>
      <c r="Z866" t="str">
        <f>IFERROR(VLOOKUP(ROWS($Z$3:Z866),$X$3:$Y$992,2,0),"")</f>
        <v>Rozvod tepla</v>
      </c>
    </row>
    <row r="867" spans="13:26">
      <c r="M867" s="289">
        <f>IF(ISNUMBER(SEARCH(ZAKL_DATA!$B$29,N867)),MAX($M$2:M866)+1,0)</f>
        <v>865</v>
      </c>
      <c r="N867" s="290" t="s">
        <v>3101</v>
      </c>
      <c r="O867" s="305" t="s">
        <v>3102</v>
      </c>
      <c r="Q867" s="292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0" t="s">
        <v>3101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0" t="s">
        <v>3101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0" t="s">
        <v>3101</v>
      </c>
      <c r="Z867" t="str">
        <f>IFERROR(VLOOKUP(ROWS($Z$3:Z867),$X$3:$Y$992,2,0),"")</f>
        <v>Výroba klimatizovaného vzduchu</v>
      </c>
    </row>
    <row r="868" spans="13:26">
      <c r="M868" s="289">
        <f>IF(ISNUMBER(SEARCH(ZAKL_DATA!$B$29,N868)),MAX($M$2:M867)+1,0)</f>
        <v>866</v>
      </c>
      <c r="N868" s="290" t="s">
        <v>3103</v>
      </c>
      <c r="O868" s="305" t="s">
        <v>3104</v>
      </c>
      <c r="Q868" s="292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0" t="s">
        <v>3103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0" t="s">
        <v>3103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0" t="s">
        <v>3103</v>
      </c>
      <c r="Z868" t="str">
        <f>IFERROR(VLOOKUP(ROWS($Z$3:Z868),$X$3:$Y$992,2,0),"")</f>
        <v>Rozvod klimatizovaného vzduchu</v>
      </c>
    </row>
    <row r="869" spans="13:26">
      <c r="M869" s="289">
        <f>IF(ISNUMBER(SEARCH(ZAKL_DATA!$B$29,N869)),MAX($M$2:M868)+1,0)</f>
        <v>867</v>
      </c>
      <c r="N869" s="290" t="s">
        <v>3105</v>
      </c>
      <c r="O869" s="305" t="s">
        <v>3106</v>
      </c>
      <c r="Q869" s="292" t="str">
        <f>IFERROR(VLOOKUP(ROWS($Q$3:Q869),$M$3:$N$992,2,0),"")</f>
        <v>Výroba chladicí vody</v>
      </c>
      <c r="R869">
        <f>IF(ISNUMBER(SEARCH('1Př1'!$A$32,N869)),MAX($M$2:M868)+1,0)</f>
        <v>867</v>
      </c>
      <c r="S869" s="290" t="s">
        <v>3105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0" t="s">
        <v>3105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0" t="s">
        <v>3105</v>
      </c>
      <c r="Z869" t="str">
        <f>IFERROR(VLOOKUP(ROWS($Z$3:Z869),$X$3:$Y$992,2,0),"")</f>
        <v>Výroba chladicí vody</v>
      </c>
    </row>
    <row r="870" spans="13:26">
      <c r="M870" s="289">
        <f>IF(ISNUMBER(SEARCH(ZAKL_DATA!$B$29,N870)),MAX($M$2:M869)+1,0)</f>
        <v>868</v>
      </c>
      <c r="N870" s="290" t="s">
        <v>3107</v>
      </c>
      <c r="O870" s="305" t="s">
        <v>3108</v>
      </c>
      <c r="Q870" s="292" t="str">
        <f>IFERROR(VLOOKUP(ROWS($Q$3:Q870),$M$3:$N$992,2,0),"")</f>
        <v>Rozvod chladicí vody</v>
      </c>
      <c r="R870">
        <f>IF(ISNUMBER(SEARCH('1Př1'!$A$32,N870)),MAX($M$2:M869)+1,0)</f>
        <v>868</v>
      </c>
      <c r="S870" s="290" t="s">
        <v>3107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0" t="s">
        <v>3107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0" t="s">
        <v>3107</v>
      </c>
      <c r="Z870" t="str">
        <f>IFERROR(VLOOKUP(ROWS($Z$3:Z870),$X$3:$Y$992,2,0),"")</f>
        <v>Rozvod chladicí vody</v>
      </c>
    </row>
    <row r="871" spans="13:26">
      <c r="M871" s="289">
        <f>IF(ISNUMBER(SEARCH(ZAKL_DATA!$B$29,N871)),MAX($M$2:M870)+1,0)</f>
        <v>869</v>
      </c>
      <c r="N871" s="290" t="s">
        <v>3109</v>
      </c>
      <c r="O871" s="305" t="s">
        <v>3110</v>
      </c>
      <c r="Q871" s="292" t="str">
        <f>IFERROR(VLOOKUP(ROWS($Q$3:Q871),$M$3:$N$992,2,0),"")</f>
        <v>Výroba ledu</v>
      </c>
      <c r="R871">
        <f>IF(ISNUMBER(SEARCH('1Př1'!$A$32,N871)),MAX($M$2:M870)+1,0)</f>
        <v>869</v>
      </c>
      <c r="S871" s="290" t="s">
        <v>3109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0" t="s">
        <v>3109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0" t="s">
        <v>3109</v>
      </c>
      <c r="Z871" t="str">
        <f>IFERROR(VLOOKUP(ROWS($Z$3:Z871),$X$3:$Y$992,2,0),"")</f>
        <v>Výroba ledu</v>
      </c>
    </row>
    <row r="872" spans="13:26">
      <c r="M872" s="289">
        <f>IF(ISNUMBER(SEARCH(ZAKL_DATA!$B$29,N872)),MAX($M$2:M871)+1,0)</f>
        <v>870</v>
      </c>
      <c r="N872" s="290" t="s">
        <v>3111</v>
      </c>
      <c r="O872" s="305" t="s">
        <v>3112</v>
      </c>
      <c r="Q872" s="292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0" t="s">
        <v>3111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0" t="s">
        <v>3111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0" t="s">
        <v>3111</v>
      </c>
      <c r="Z872" t="str">
        <f>IFERROR(VLOOKUP(ROWS($Z$3:Z872),$X$3:$Y$992,2,0),"")</f>
        <v>Výstavba nebytových budov</v>
      </c>
    </row>
    <row r="873" spans="13:26">
      <c r="M873" s="289">
        <f>IF(ISNUMBER(SEARCH(ZAKL_DATA!$B$29,N873)),MAX($M$2:M872)+1,0)</f>
        <v>871</v>
      </c>
      <c r="N873" s="290" t="s">
        <v>3113</v>
      </c>
      <c r="O873" s="305" t="s">
        <v>3114</v>
      </c>
      <c r="Q873" s="292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0" t="s">
        <v>3113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0" t="s">
        <v>3113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0" t="s">
        <v>3113</v>
      </c>
      <c r="Z873" t="str">
        <f>IFERROR(VLOOKUP(ROWS($Z$3:Z873),$X$3:$Y$992,2,0),"")</f>
        <v>Výstavba inženýrských sítí pro kapaliny</v>
      </c>
    </row>
    <row r="874" spans="13:26">
      <c r="M874" s="289">
        <f>IF(ISNUMBER(SEARCH(ZAKL_DATA!$B$29,N874)),MAX($M$2:M873)+1,0)</f>
        <v>872</v>
      </c>
      <c r="N874" s="290" t="s">
        <v>3115</v>
      </c>
      <c r="O874" s="305" t="s">
        <v>3116</v>
      </c>
      <c r="Q874" s="292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0" t="s">
        <v>3115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0" t="s">
        <v>3115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0" t="s">
        <v>3115</v>
      </c>
      <c r="Z874" t="str">
        <f>IFERROR(VLOOKUP(ROWS($Z$3:Z874),$X$3:$Y$992,2,0),"")</f>
        <v>Výstavba inženýrských sítí pro plyny</v>
      </c>
    </row>
    <row r="875" spans="13:26">
      <c r="M875" s="289">
        <f>IF(ISNUMBER(SEARCH(ZAKL_DATA!$B$29,N875)),MAX($M$2:M874)+1,0)</f>
        <v>873</v>
      </c>
      <c r="N875" s="290" t="s">
        <v>3117</v>
      </c>
      <c r="O875" s="305" t="s">
        <v>3118</v>
      </c>
      <c r="Q875" s="292" t="str">
        <f>IFERROR(VLOOKUP(ROWS($Q$3:Q875),$M$3:$N$992,2,0),"")</f>
        <v>Sklenářské práce</v>
      </c>
      <c r="R875">
        <f>IF(ISNUMBER(SEARCH('1Př1'!$A$32,N875)),MAX($M$2:M874)+1,0)</f>
        <v>873</v>
      </c>
      <c r="S875" s="290" t="s">
        <v>3117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0" t="s">
        <v>3117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0" t="s">
        <v>3117</v>
      </c>
      <c r="Z875" t="str">
        <f>IFERROR(VLOOKUP(ROWS($Z$3:Z875),$X$3:$Y$992,2,0),"")</f>
        <v>Sklenářské práce</v>
      </c>
    </row>
    <row r="876" spans="13:26">
      <c r="M876" s="289">
        <f>IF(ISNUMBER(SEARCH(ZAKL_DATA!$B$29,N876)),MAX($M$2:M875)+1,0)</f>
        <v>874</v>
      </c>
      <c r="N876" s="290" t="s">
        <v>3119</v>
      </c>
      <c r="O876" s="305" t="s">
        <v>3120</v>
      </c>
      <c r="Q876" s="292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0" t="s">
        <v>3119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0" t="s">
        <v>3119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0" t="s">
        <v>3119</v>
      </c>
      <c r="Z876" t="str">
        <f>IFERROR(VLOOKUP(ROWS($Z$3:Z876),$X$3:$Y$992,2,0),"")</f>
        <v>Malířské a natěračské práce</v>
      </c>
    </row>
    <row r="877" spans="13:26">
      <c r="M877" s="289">
        <f>IF(ISNUMBER(SEARCH(ZAKL_DATA!$B$29,N877)),MAX($M$2:M876)+1,0)</f>
        <v>875</v>
      </c>
      <c r="N877" s="290" t="s">
        <v>3121</v>
      </c>
      <c r="O877" s="305" t="s">
        <v>3122</v>
      </c>
      <c r="Q877" s="292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0" t="s">
        <v>3121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0" t="s">
        <v>3121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0" t="s">
        <v>3121</v>
      </c>
      <c r="Z877" t="str">
        <f>IFERROR(VLOOKUP(ROWS($Z$3:Z877),$X$3:$Y$992,2,0),"")</f>
        <v>Montáž a demontáž lešení a bednění</v>
      </c>
    </row>
    <row r="878" spans="13:26">
      <c r="M878" s="289">
        <f>IF(ISNUMBER(SEARCH(ZAKL_DATA!$B$29,N878)),MAX($M$2:M877)+1,0)</f>
        <v>876</v>
      </c>
      <c r="N878" s="290" t="s">
        <v>3123</v>
      </c>
      <c r="O878" s="305" t="s">
        <v>3124</v>
      </c>
      <c r="Q878" s="292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0" t="s">
        <v>3123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0" t="s">
        <v>3123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0" t="s">
        <v>3123</v>
      </c>
      <c r="Z878" t="str">
        <f>IFERROR(VLOOKUP(ROWS($Z$3:Z878),$X$3:$Y$992,2,0),"")</f>
        <v>Jiné specializované stavební činnosti j. n.</v>
      </c>
    </row>
    <row r="879" spans="13:26">
      <c r="M879" s="289">
        <f>IF(ISNUMBER(SEARCH(ZAKL_DATA!$B$29,N879)),MAX($M$2:M878)+1,0)</f>
        <v>877</v>
      </c>
      <c r="N879" s="290" t="s">
        <v>3125</v>
      </c>
      <c r="O879" s="305" t="s">
        <v>3126</v>
      </c>
      <c r="Q879" s="292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0" t="s">
        <v>3125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0" t="s">
        <v>3125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0" t="s">
        <v>3125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89">
        <f>IF(ISNUMBER(SEARCH(ZAKL_DATA!$B$29,N880)),MAX($M$2:M879)+1,0)</f>
        <v>878</v>
      </c>
      <c r="N880" s="290" t="s">
        <v>3127</v>
      </c>
      <c r="O880" s="305" t="s">
        <v>3128</v>
      </c>
      <c r="Q880" s="292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0" t="s">
        <v>3127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0" t="s">
        <v>3127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0" t="s">
        <v>3127</v>
      </c>
      <c r="Z880" t="str">
        <f>IFERROR(VLOOKUP(ROWS($Z$3:Z880),$X$3:$Y$992,2,0),"")</f>
        <v>Zprostř.specializ.velkoobchodu a velkoobchod v zast.s ost.výrobky j.n.</v>
      </c>
    </row>
    <row r="881" spans="13:26">
      <c r="M881" s="289">
        <f>IF(ISNUMBER(SEARCH(ZAKL_DATA!$B$29,N881)),MAX($M$2:M880)+1,0)</f>
        <v>879</v>
      </c>
      <c r="N881" s="290" t="s">
        <v>3129</v>
      </c>
      <c r="O881" s="305" t="s">
        <v>3130</v>
      </c>
      <c r="Q881" s="292" t="str">
        <f>IFERROR(VLOOKUP(ROWS($Q$3:Q881),$M$3:$N$992,2,0),"")</f>
        <v>Velkoobchod s oděvy</v>
      </c>
      <c r="R881">
        <f>IF(ISNUMBER(SEARCH('1Př1'!$A$32,N881)),MAX($M$2:M880)+1,0)</f>
        <v>879</v>
      </c>
      <c r="S881" s="290" t="s">
        <v>3129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0" t="s">
        <v>3129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0" t="s">
        <v>3129</v>
      </c>
      <c r="Z881" t="str">
        <f>IFERROR(VLOOKUP(ROWS($Z$3:Z881),$X$3:$Y$992,2,0),"")</f>
        <v>Velkoobchod s oděvy</v>
      </c>
    </row>
    <row r="882" spans="13:26">
      <c r="M882" s="289">
        <f>IF(ISNUMBER(SEARCH(ZAKL_DATA!$B$29,N882)),MAX($M$2:M881)+1,0)</f>
        <v>880</v>
      </c>
      <c r="N882" s="290" t="s">
        <v>3131</v>
      </c>
      <c r="O882" s="305" t="s">
        <v>3132</v>
      </c>
      <c r="Q882" s="292" t="str">
        <f>IFERROR(VLOOKUP(ROWS($Q$3:Q882),$M$3:$N$992,2,0),"")</f>
        <v>Velkoobchod s obuví</v>
      </c>
      <c r="R882">
        <f>IF(ISNUMBER(SEARCH('1Př1'!$A$32,N882)),MAX($M$2:M881)+1,0)</f>
        <v>880</v>
      </c>
      <c r="S882" s="290" t="s">
        <v>3131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0" t="s">
        <v>3131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0" t="s">
        <v>3131</v>
      </c>
      <c r="Z882" t="str">
        <f>IFERROR(VLOOKUP(ROWS($Z$3:Z882),$X$3:$Y$992,2,0),"")</f>
        <v>Velkoobchod s obuví</v>
      </c>
    </row>
    <row r="883" spans="13:26">
      <c r="M883" s="289">
        <f>IF(ISNUMBER(SEARCH(ZAKL_DATA!$B$29,N883)),MAX($M$2:M882)+1,0)</f>
        <v>881</v>
      </c>
      <c r="N883" s="290" t="s">
        <v>3133</v>
      </c>
      <c r="O883" s="305" t="s">
        <v>3134</v>
      </c>
      <c r="Q883" s="292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0" t="s">
        <v>3133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0" t="s">
        <v>3133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0" t="s">
        <v>3133</v>
      </c>
      <c r="Z883" t="str">
        <f>IFERROR(VLOOKUP(ROWS($Z$3:Z883),$X$3:$Y$992,2,0),"")</f>
        <v>Velkoobchod s porcelánovými, keramickými a skleněnými výrobky</v>
      </c>
    </row>
    <row r="884" spans="13:26">
      <c r="M884" s="289">
        <f>IF(ISNUMBER(SEARCH(ZAKL_DATA!$B$29,N884)),MAX($M$2:M883)+1,0)</f>
        <v>882</v>
      </c>
      <c r="N884" s="290" t="s">
        <v>3135</v>
      </c>
      <c r="O884" s="305" t="s">
        <v>3136</v>
      </c>
      <c r="Q884" s="292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0" t="s">
        <v>3135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0" t="s">
        <v>3135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0" t="s">
        <v>3135</v>
      </c>
      <c r="Z884" t="str">
        <f>IFERROR(VLOOKUP(ROWS($Z$3:Z884),$X$3:$Y$992,2,0),"")</f>
        <v>Velkoobchod s pracími a čisticími prostředky</v>
      </c>
    </row>
    <row r="885" spans="13:26">
      <c r="M885" s="289">
        <f>IF(ISNUMBER(SEARCH(ZAKL_DATA!$B$29,N885)),MAX($M$2:M884)+1,0)</f>
        <v>883</v>
      </c>
      <c r="N885" s="290" t="s">
        <v>3137</v>
      </c>
      <c r="O885" s="305" t="s">
        <v>3138</v>
      </c>
      <c r="Q885" s="292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0" t="s">
        <v>3137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0" t="s">
        <v>3137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0" t="s">
        <v>3137</v>
      </c>
      <c r="Z885" t="str">
        <f>IFERROR(VLOOKUP(ROWS($Z$3:Z885),$X$3:$Y$992,2,0),"")</f>
        <v>Velkoobchod s pevnými palivy a příbuznými výrobky</v>
      </c>
    </row>
    <row r="886" spans="13:26">
      <c r="M886" s="289">
        <f>IF(ISNUMBER(SEARCH(ZAKL_DATA!$B$29,N886)),MAX($M$2:M885)+1,0)</f>
        <v>884</v>
      </c>
      <c r="N886" s="290" t="s">
        <v>3139</v>
      </c>
      <c r="O886" s="305" t="s">
        <v>3140</v>
      </c>
      <c r="Q886" s="292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0" t="s">
        <v>3139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0" t="s">
        <v>3139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0" t="s">
        <v>3139</v>
      </c>
      <c r="Z886" t="str">
        <f>IFERROR(VLOOKUP(ROWS($Z$3:Z886),$X$3:$Y$992,2,0),"")</f>
        <v>Velkoobchod s kapalnými palivy a příbuznými výrobky</v>
      </c>
    </row>
    <row r="887" spans="13:26">
      <c r="M887" s="289">
        <f>IF(ISNUMBER(SEARCH(ZAKL_DATA!$B$29,N887)),MAX($M$2:M886)+1,0)</f>
        <v>885</v>
      </c>
      <c r="N887" s="290" t="s">
        <v>3141</v>
      </c>
      <c r="O887" s="305" t="s">
        <v>3142</v>
      </c>
      <c r="Q887" s="292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0" t="s">
        <v>3141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0" t="s">
        <v>3141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0" t="s">
        <v>3141</v>
      </c>
      <c r="Z887" t="str">
        <f>IFERROR(VLOOKUP(ROWS($Z$3:Z887),$X$3:$Y$992,2,0),"")</f>
        <v>Velkoobchod s plynnými palivy a příbuznými výrobky</v>
      </c>
    </row>
    <row r="888" spans="13:26">
      <c r="M888" s="289">
        <f>IF(ISNUMBER(SEARCH(ZAKL_DATA!$B$29,N888)),MAX($M$2:M887)+1,0)</f>
        <v>886</v>
      </c>
      <c r="N888" s="290" t="s">
        <v>3143</v>
      </c>
      <c r="O888" s="305" t="s">
        <v>3144</v>
      </c>
      <c r="Q888" s="292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0" t="s">
        <v>3143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0" t="s">
        <v>3143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0" t="s">
        <v>3143</v>
      </c>
      <c r="Z888" t="str">
        <f>IFERROR(VLOOKUP(ROWS($Z$3:Z888),$X$3:$Y$992,2,0),"")</f>
        <v>Velkoobchod s papírenskými meziprodukty</v>
      </c>
    </row>
    <row r="889" spans="13:26">
      <c r="M889" s="289">
        <f>IF(ISNUMBER(SEARCH(ZAKL_DATA!$B$29,N889)),MAX($M$2:M888)+1,0)</f>
        <v>887</v>
      </c>
      <c r="N889" s="290" t="s">
        <v>3145</v>
      </c>
      <c r="O889" s="305" t="s">
        <v>3146</v>
      </c>
      <c r="Q889" s="292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0" t="s">
        <v>3145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0" t="s">
        <v>3145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0" t="s">
        <v>3145</v>
      </c>
      <c r="Z889" t="str">
        <f>IFERROR(VLOOKUP(ROWS($Z$3:Z889),$X$3:$Y$992,2,0),"")</f>
        <v>Velkoobchod s ostatními meziprodukty j. n.</v>
      </c>
    </row>
    <row r="890" spans="13:26">
      <c r="M890" s="289">
        <f>IF(ISNUMBER(SEARCH(ZAKL_DATA!$B$29,N890)),MAX($M$2:M889)+1,0)</f>
        <v>888</v>
      </c>
      <c r="N890" s="290" t="s">
        <v>3147</v>
      </c>
      <c r="O890" s="305" t="s">
        <v>3148</v>
      </c>
      <c r="Q890" s="292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0" t="s">
        <v>3147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0" t="s">
        <v>3147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0" t="s">
        <v>3147</v>
      </c>
      <c r="Z890" t="str">
        <f>IFERROR(VLOOKUP(ROWS($Z$3:Z890),$X$3:$Y$992,2,0),"")</f>
        <v>Maloobchod s fotografickým a optickým zařízením a potřebami</v>
      </c>
    </row>
    <row r="891" spans="13:26">
      <c r="M891" s="289">
        <f>IF(ISNUMBER(SEARCH(ZAKL_DATA!$B$29,N891)),MAX($M$2:M890)+1,0)</f>
        <v>889</v>
      </c>
      <c r="N891" s="290" t="s">
        <v>3149</v>
      </c>
      <c r="O891" s="305" t="s">
        <v>3150</v>
      </c>
      <c r="Q891" s="292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0" t="s">
        <v>3149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0" t="s">
        <v>3149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0" t="s">
        <v>3149</v>
      </c>
      <c r="Z891" t="str">
        <f>IFERROR(VLOOKUP(ROWS($Z$3:Z891),$X$3:$Y$992,2,0),"")</f>
        <v>Maloobchod s pevnými palivy</v>
      </c>
    </row>
    <row r="892" spans="13:26">
      <c r="M892" s="289">
        <f>IF(ISNUMBER(SEARCH(ZAKL_DATA!$B$29,N892)),MAX($M$2:M891)+1,0)</f>
        <v>890</v>
      </c>
      <c r="N892" s="290" t="s">
        <v>3151</v>
      </c>
      <c r="O892" s="305" t="s">
        <v>3152</v>
      </c>
      <c r="Q892" s="292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0" t="s">
        <v>3151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0" t="s">
        <v>3151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0" t="s">
        <v>3151</v>
      </c>
      <c r="Z892" t="str">
        <f>IFERROR(VLOOKUP(ROWS($Z$3:Z892),$X$3:$Y$992,2,0),"")</f>
        <v>Maloobchod s kapalnými palivy (kromě pohonných hmot)</v>
      </c>
    </row>
    <row r="893" spans="13:26">
      <c r="M893" s="289">
        <f>IF(ISNUMBER(SEARCH(ZAKL_DATA!$B$29,N893)),MAX($M$2:M892)+1,0)</f>
        <v>891</v>
      </c>
      <c r="N893" s="290" t="s">
        <v>3153</v>
      </c>
      <c r="O893" s="305" t="s">
        <v>3154</v>
      </c>
      <c r="Q893" s="292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0" t="s">
        <v>3153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0" t="s">
        <v>3153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0" t="s">
        <v>3153</v>
      </c>
      <c r="Z893" t="str">
        <f>IFERROR(VLOOKUP(ROWS($Z$3:Z893),$X$3:$Y$992,2,0),"")</f>
        <v>Maloobchod s plynnými palivy (kromě pohonných hmot)</v>
      </c>
    </row>
    <row r="894" spans="13:26">
      <c r="M894" s="289">
        <f>IF(ISNUMBER(SEARCH(ZAKL_DATA!$B$29,N894)),MAX($M$2:M893)+1,0)</f>
        <v>892</v>
      </c>
      <c r="N894" s="290" t="s">
        <v>3155</v>
      </c>
      <c r="O894" s="305" t="s">
        <v>3156</v>
      </c>
      <c r="Q894" s="292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0" t="s">
        <v>3155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0" t="s">
        <v>3155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0" t="s">
        <v>3155</v>
      </c>
      <c r="Z894" t="str">
        <f>IFERROR(VLOOKUP(ROWS($Z$3:Z894),$X$3:$Y$992,2,0),"")</f>
        <v>Ostatní maloobchod s novým zbožím ve specializovaných prodejnách j. n.</v>
      </c>
    </row>
    <row r="895" spans="13:26">
      <c r="M895" s="289">
        <f>IF(ISNUMBER(SEARCH(ZAKL_DATA!$B$29,N895)),MAX($M$2:M894)+1,0)</f>
        <v>893</v>
      </c>
      <c r="N895" s="290" t="s">
        <v>3157</v>
      </c>
      <c r="O895" s="305" t="s">
        <v>3158</v>
      </c>
      <c r="Q895" s="292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0" t="s">
        <v>3157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0" t="s">
        <v>3157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0" t="s">
        <v>3157</v>
      </c>
      <c r="Z895" t="str">
        <f>IFERROR(VLOOKUP(ROWS($Z$3:Z895),$X$3:$Y$992,2,0),"")</f>
        <v>Maloobchod prostřednictvím internetu</v>
      </c>
    </row>
    <row r="896" spans="13:26">
      <c r="M896" s="289">
        <f>IF(ISNUMBER(SEARCH(ZAKL_DATA!$B$29,N896)),MAX($M$2:M895)+1,0)</f>
        <v>894</v>
      </c>
      <c r="N896" s="290" t="s">
        <v>3159</v>
      </c>
      <c r="O896" s="305" t="s">
        <v>3160</v>
      </c>
      <c r="Q896" s="292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0" t="s">
        <v>3159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0" t="s">
        <v>3159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0" t="s">
        <v>3159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89">
        <f>IF(ISNUMBER(SEARCH(ZAKL_DATA!$B$29,N897)),MAX($M$2:M896)+1,0)</f>
        <v>895</v>
      </c>
      <c r="N897" s="290" t="s">
        <v>3161</v>
      </c>
      <c r="O897" s="305" t="s">
        <v>3162</v>
      </c>
      <c r="Q897" s="292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0" t="s">
        <v>3161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0" t="s">
        <v>3161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0" t="s">
        <v>3161</v>
      </c>
      <c r="Z897" t="str">
        <f>IFERROR(VLOOKUP(ROWS($Z$3:Z897),$X$3:$Y$992,2,0),"")</f>
        <v>Meziměstská pravidelná pozemní osobní doprava</v>
      </c>
    </row>
    <row r="898" spans="13:26">
      <c r="M898" s="289">
        <f>IF(ISNUMBER(SEARCH(ZAKL_DATA!$B$29,N898)),MAX($M$2:M897)+1,0)</f>
        <v>896</v>
      </c>
      <c r="N898" s="290" t="s">
        <v>3163</v>
      </c>
      <c r="O898" s="305" t="s">
        <v>3164</v>
      </c>
      <c r="Q898" s="292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0" t="s">
        <v>3163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0" t="s">
        <v>3163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0" t="s">
        <v>3163</v>
      </c>
      <c r="Z898" t="str">
        <f>IFERROR(VLOOKUP(ROWS($Z$3:Z898),$X$3:$Y$992,2,0),"")</f>
        <v>Osobní doprava lanovkou nebo vlekem</v>
      </c>
    </row>
    <row r="899" spans="13:26">
      <c r="M899" s="289">
        <f>IF(ISNUMBER(SEARCH(ZAKL_DATA!$B$29,N899)),MAX($M$2:M898)+1,0)</f>
        <v>897</v>
      </c>
      <c r="N899" s="290" t="s">
        <v>3165</v>
      </c>
      <c r="O899" s="305" t="s">
        <v>3166</v>
      </c>
      <c r="Q899" s="292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0" t="s">
        <v>3165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0" t="s">
        <v>3165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0" t="s">
        <v>3165</v>
      </c>
      <c r="Z899" t="str">
        <f>IFERROR(VLOOKUP(ROWS($Z$3:Z899),$X$3:$Y$992,2,0),"")</f>
        <v>Nepravidelná pozemní osobní doprava</v>
      </c>
    </row>
    <row r="900" spans="13:26">
      <c r="M900" s="289">
        <f>IF(ISNUMBER(SEARCH(ZAKL_DATA!$B$29,N900)),MAX($M$2:M899)+1,0)</f>
        <v>898</v>
      </c>
      <c r="N900" s="290" t="s">
        <v>3167</v>
      </c>
      <c r="O900" s="305" t="s">
        <v>3168</v>
      </c>
      <c r="Q900" s="292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0" t="s">
        <v>3167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0" t="s">
        <v>3167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0" t="s">
        <v>3167</v>
      </c>
      <c r="Z900" t="str">
        <f>IFERROR(VLOOKUP(ROWS($Z$3:Z900),$X$3:$Y$992,2,0),"")</f>
        <v>Jiná pozemní osobní doprava j. n.</v>
      </c>
    </row>
    <row r="901" spans="13:26">
      <c r="M901" s="289">
        <f>IF(ISNUMBER(SEARCH(ZAKL_DATA!$B$29,N901)),MAX($M$2:M900)+1,0)</f>
        <v>899</v>
      </c>
      <c r="N901" s="290" t="s">
        <v>3169</v>
      </c>
      <c r="O901" s="305" t="s">
        <v>3170</v>
      </c>
      <c r="Q901" s="292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0" t="s">
        <v>3169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0" t="s">
        <v>3169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0" t="s">
        <v>3169</v>
      </c>
      <c r="Z901" t="str">
        <f>IFERROR(VLOOKUP(ROWS($Z$3:Z901),$X$3:$Y$992,2,0),"")</f>
        <v>Potrubní doprava ropovodem</v>
      </c>
    </row>
    <row r="902" spans="13:26">
      <c r="M902" s="289">
        <f>IF(ISNUMBER(SEARCH(ZAKL_DATA!$B$29,N902)),MAX($M$2:M901)+1,0)</f>
        <v>900</v>
      </c>
      <c r="N902" s="290" t="s">
        <v>3171</v>
      </c>
      <c r="O902" s="305" t="s">
        <v>3172</v>
      </c>
      <c r="Q902" s="292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0" t="s">
        <v>3171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0" t="s">
        <v>3171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0" t="s">
        <v>3171</v>
      </c>
      <c r="Z902" t="str">
        <f>IFERROR(VLOOKUP(ROWS($Z$3:Z902),$X$3:$Y$992,2,0),"")</f>
        <v>Potrubní doprava plynovodem</v>
      </c>
    </row>
    <row r="903" spans="13:26">
      <c r="M903" s="289">
        <f>IF(ISNUMBER(SEARCH(ZAKL_DATA!$B$29,N903)),MAX($M$2:M902)+1,0)</f>
        <v>901</v>
      </c>
      <c r="N903" s="290" t="s">
        <v>3173</v>
      </c>
      <c r="O903" s="305" t="s">
        <v>3174</v>
      </c>
      <c r="Q903" s="292" t="str">
        <f>IFERROR(VLOOKUP(ROWS($Q$3:Q903),$M$3:$N$992,2,0),"")</f>
        <v>Potrubní doprava ostatní</v>
      </c>
      <c r="R903">
        <f>IF(ISNUMBER(SEARCH('1Př1'!$A$32,N903)),MAX($M$2:M902)+1,0)</f>
        <v>901</v>
      </c>
      <c r="S903" s="290" t="s">
        <v>3173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0" t="s">
        <v>3173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0" t="s">
        <v>3173</v>
      </c>
      <c r="Z903" t="str">
        <f>IFERROR(VLOOKUP(ROWS($Z$3:Z903),$X$3:$Y$992,2,0),"")</f>
        <v>Potrubní doprava ostatní</v>
      </c>
    </row>
    <row r="904" spans="13:26">
      <c r="M904" s="289">
        <f>IF(ISNUMBER(SEARCH(ZAKL_DATA!$B$29,N904)),MAX($M$2:M903)+1,0)</f>
        <v>902</v>
      </c>
      <c r="N904" s="290" t="s">
        <v>3175</v>
      </c>
      <c r="O904" s="305" t="s">
        <v>3176</v>
      </c>
      <c r="Q904" s="292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0" t="s">
        <v>3175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0" t="s">
        <v>3175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0" t="s">
        <v>3175</v>
      </c>
      <c r="Z904" t="str">
        <f>IFERROR(VLOOKUP(ROWS($Z$3:Z904),$X$3:$Y$992,2,0),"")</f>
        <v>Vnitrostátní pravidelná letecká osobní doprava</v>
      </c>
    </row>
    <row r="905" spans="13:26">
      <c r="M905" s="289">
        <f>IF(ISNUMBER(SEARCH(ZAKL_DATA!$B$29,N905)),MAX($M$2:M904)+1,0)</f>
        <v>903</v>
      </c>
      <c r="N905" s="290" t="s">
        <v>3177</v>
      </c>
      <c r="O905" s="305" t="s">
        <v>3178</v>
      </c>
      <c r="Q905" s="292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0" t="s">
        <v>3177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0" t="s">
        <v>3177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0" t="s">
        <v>3177</v>
      </c>
      <c r="Z905" t="str">
        <f>IFERROR(VLOOKUP(ROWS($Z$3:Z905),$X$3:$Y$992,2,0),"")</f>
        <v>Vnitrostátní nepravidelná letecká osobní doprava</v>
      </c>
    </row>
    <row r="906" spans="13:26">
      <c r="M906" s="289">
        <f>IF(ISNUMBER(SEARCH(ZAKL_DATA!$B$29,N906)),MAX($M$2:M905)+1,0)</f>
        <v>904</v>
      </c>
      <c r="N906" s="290" t="s">
        <v>3179</v>
      </c>
      <c r="O906" s="305" t="s">
        <v>3180</v>
      </c>
      <c r="Q906" s="292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0" t="s">
        <v>3179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0" t="s">
        <v>3179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0" t="s">
        <v>3179</v>
      </c>
      <c r="Z906" t="str">
        <f>IFERROR(VLOOKUP(ROWS($Z$3:Z906),$X$3:$Y$992,2,0),"")</f>
        <v>Mezinárodní pravidelná letecká osobní doprava</v>
      </c>
    </row>
    <row r="907" spans="13:26">
      <c r="M907" s="289">
        <f>IF(ISNUMBER(SEARCH(ZAKL_DATA!$B$29,N907)),MAX($M$2:M906)+1,0)</f>
        <v>905</v>
      </c>
      <c r="N907" s="290" t="s">
        <v>3181</v>
      </c>
      <c r="O907" s="305" t="s">
        <v>3182</v>
      </c>
      <c r="Q907" s="292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0" t="s">
        <v>3181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0" t="s">
        <v>3181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0" t="s">
        <v>3181</v>
      </c>
      <c r="Z907" t="str">
        <f>IFERROR(VLOOKUP(ROWS($Z$3:Z907),$X$3:$Y$992,2,0),"")</f>
        <v>Mezinárodní nepravidelná letecká osobní doprava</v>
      </c>
    </row>
    <row r="908" spans="13:26">
      <c r="M908" s="289">
        <f>IF(ISNUMBER(SEARCH(ZAKL_DATA!$B$29,N908)),MAX($M$2:M907)+1,0)</f>
        <v>906</v>
      </c>
      <c r="N908" s="290" t="s">
        <v>3183</v>
      </c>
      <c r="O908" s="305" t="s">
        <v>3184</v>
      </c>
      <c r="Q908" s="292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0" t="s">
        <v>3183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0" t="s">
        <v>3183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0" t="s">
        <v>3183</v>
      </c>
      <c r="Z908" t="str">
        <f>IFERROR(VLOOKUP(ROWS($Z$3:Z908),$X$3:$Y$992,2,0),"")</f>
        <v>Ostatní letecká osobní doprava</v>
      </c>
    </row>
    <row r="909" spans="13:26">
      <c r="M909" s="289">
        <f>IF(ISNUMBER(SEARCH(ZAKL_DATA!$B$29,N909)),MAX($M$2:M908)+1,0)</f>
        <v>907</v>
      </c>
      <c r="N909" s="290" t="s">
        <v>3185</v>
      </c>
      <c r="O909" s="305" t="s">
        <v>3186</v>
      </c>
      <c r="Q909" s="292" t="str">
        <f>IFERROR(VLOOKUP(ROWS($Q$3:Q909),$M$3:$N$992,2,0),"")</f>
        <v>Hotely</v>
      </c>
      <c r="R909">
        <f>IF(ISNUMBER(SEARCH('1Př1'!$A$32,N909)),MAX($M$2:M908)+1,0)</f>
        <v>907</v>
      </c>
      <c r="S909" s="290" t="s">
        <v>3185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0" t="s">
        <v>3185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0" t="s">
        <v>3185</v>
      </c>
      <c r="Z909" t="str">
        <f>IFERROR(VLOOKUP(ROWS($Z$3:Z909),$X$3:$Y$992,2,0),"")</f>
        <v>Hotely</v>
      </c>
    </row>
    <row r="910" spans="13:26">
      <c r="M910" s="289">
        <f>IF(ISNUMBER(SEARCH(ZAKL_DATA!$B$29,N910)),MAX($M$2:M909)+1,0)</f>
        <v>908</v>
      </c>
      <c r="N910" s="290" t="s">
        <v>3187</v>
      </c>
      <c r="O910" s="305" t="s">
        <v>3188</v>
      </c>
      <c r="Q910" s="292" t="str">
        <f>IFERROR(VLOOKUP(ROWS($Q$3:Q910),$M$3:$N$992,2,0),"")</f>
        <v>Motely, botely</v>
      </c>
      <c r="R910">
        <f>IF(ISNUMBER(SEARCH('1Př1'!$A$32,N910)),MAX($M$2:M909)+1,0)</f>
        <v>908</v>
      </c>
      <c r="S910" s="290" t="s">
        <v>3187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0" t="s">
        <v>3187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0" t="s">
        <v>3187</v>
      </c>
      <c r="Z910" t="str">
        <f>IFERROR(VLOOKUP(ROWS($Z$3:Z910),$X$3:$Y$992,2,0),"")</f>
        <v>Motely, botely</v>
      </c>
    </row>
    <row r="911" spans="13:26">
      <c r="M911" s="289">
        <f>IF(ISNUMBER(SEARCH(ZAKL_DATA!$B$29,N911)),MAX($M$2:M910)+1,0)</f>
        <v>909</v>
      </c>
      <c r="N911" s="290" t="s">
        <v>3189</v>
      </c>
      <c r="O911" s="305" t="s">
        <v>3190</v>
      </c>
      <c r="Q911" s="292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0" t="s">
        <v>3189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0" t="s">
        <v>3189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0" t="s">
        <v>3189</v>
      </c>
      <c r="Z911" t="str">
        <f>IFERROR(VLOOKUP(ROWS($Z$3:Z911),$X$3:$Y$992,2,0),"")</f>
        <v>Ostatní podobná ubytovací zařízení</v>
      </c>
    </row>
    <row r="912" spans="13:26">
      <c r="M912" s="289">
        <f>IF(ISNUMBER(SEARCH(ZAKL_DATA!$B$29,N912)),MAX($M$2:M911)+1,0)</f>
        <v>910</v>
      </c>
      <c r="N912" s="290" t="s">
        <v>3191</v>
      </c>
      <c r="O912" s="305" t="s">
        <v>3192</v>
      </c>
      <c r="Q912" s="292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0" t="s">
        <v>3191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0" t="s">
        <v>3191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0" t="s">
        <v>3191</v>
      </c>
      <c r="Z912" t="str">
        <f>IFERROR(VLOOKUP(ROWS($Z$3:Z912),$X$3:$Y$992,2,0),"")</f>
        <v>Ubytování v zařízených pronájmech</v>
      </c>
    </row>
    <row r="913" spans="13:26">
      <c r="M913" s="289">
        <f>IF(ISNUMBER(SEARCH(ZAKL_DATA!$B$29,N913)),MAX($M$2:M912)+1,0)</f>
        <v>911</v>
      </c>
      <c r="N913" s="290" t="s">
        <v>3193</v>
      </c>
      <c r="O913" s="305" t="s">
        <v>3194</v>
      </c>
      <c r="Q913" s="292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0" t="s">
        <v>3193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0" t="s">
        <v>3193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0" t="s">
        <v>3193</v>
      </c>
      <c r="Z913" t="str">
        <f>IFERROR(VLOOKUP(ROWS($Z$3:Z913),$X$3:$Y$992,2,0),"")</f>
        <v>Ubytování ve vysokoškolských kolejích, domovech mládeže</v>
      </c>
    </row>
    <row r="914" spans="13:26">
      <c r="M914" s="289">
        <f>IF(ISNUMBER(SEARCH(ZAKL_DATA!$B$29,N914)),MAX($M$2:M913)+1,0)</f>
        <v>912</v>
      </c>
      <c r="N914" s="290" t="s">
        <v>3195</v>
      </c>
      <c r="O914" s="305" t="s">
        <v>3196</v>
      </c>
      <c r="Q914" s="292" t="str">
        <f>IFERROR(VLOOKUP(ROWS($Q$3:Q914),$M$3:$N$992,2,0),"")</f>
        <v>Ostatní ubytování j. n.</v>
      </c>
      <c r="R914">
        <f>IF(ISNUMBER(SEARCH('1Př1'!$A$32,N914)),MAX($M$2:M913)+1,0)</f>
        <v>912</v>
      </c>
      <c r="S914" s="290" t="s">
        <v>3195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0" t="s">
        <v>3195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0" t="s">
        <v>3195</v>
      </c>
      <c r="Z914" t="str">
        <f>IFERROR(VLOOKUP(ROWS($Z$3:Z914),$X$3:$Y$992,2,0),"")</f>
        <v>Ostatní ubytování j. n.</v>
      </c>
    </row>
    <row r="915" spans="13:26">
      <c r="M915" s="289">
        <f>IF(ISNUMBER(SEARCH(ZAKL_DATA!$B$29,N915)),MAX($M$2:M914)+1,0)</f>
        <v>913</v>
      </c>
      <c r="N915" s="290" t="s">
        <v>3197</v>
      </c>
      <c r="O915" s="305" t="s">
        <v>3198</v>
      </c>
      <c r="Q915" s="292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0" t="s">
        <v>3197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0" t="s">
        <v>3197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0" t="s">
        <v>3197</v>
      </c>
      <c r="Z915" t="str">
        <f>IFERROR(VLOOKUP(ROWS($Z$3:Z915),$X$3:$Y$992,2,0),"")</f>
        <v>Stravování v závodních kuchyních</v>
      </c>
    </row>
    <row r="916" spans="13:26">
      <c r="M916" s="289">
        <f>IF(ISNUMBER(SEARCH(ZAKL_DATA!$B$29,N916)),MAX($M$2:M915)+1,0)</f>
        <v>914</v>
      </c>
      <c r="N916" s="290" t="s">
        <v>3199</v>
      </c>
      <c r="O916" s="305" t="s">
        <v>3200</v>
      </c>
      <c r="Q916" s="292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0" t="s">
        <v>3199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0" t="s">
        <v>3199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0" t="s">
        <v>3199</v>
      </c>
      <c r="Z916" t="str">
        <f>IFERROR(VLOOKUP(ROWS($Z$3:Z916),$X$3:$Y$992,2,0),"")</f>
        <v>Stravování ve školních zařízeních, menzách</v>
      </c>
    </row>
    <row r="917" spans="13:26">
      <c r="M917" s="289">
        <f>IF(ISNUMBER(SEARCH(ZAKL_DATA!$B$29,N917)),MAX($M$2:M916)+1,0)</f>
        <v>915</v>
      </c>
      <c r="N917" s="290" t="s">
        <v>3201</v>
      </c>
      <c r="O917" s="305" t="s">
        <v>3202</v>
      </c>
      <c r="Q917" s="292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0" t="s">
        <v>3201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0" t="s">
        <v>3201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0" t="s">
        <v>3201</v>
      </c>
      <c r="Z917" t="str">
        <f>IFERROR(VLOOKUP(ROWS($Z$3:Z917),$X$3:$Y$992,2,0),"")</f>
        <v>Poskytování jiných stravovacích služeb j. n.</v>
      </c>
    </row>
    <row r="918" spans="13:26">
      <c r="M918" s="289">
        <f>IF(ISNUMBER(SEARCH(ZAKL_DATA!$B$29,N918)),MAX($M$2:M917)+1,0)</f>
        <v>916</v>
      </c>
      <c r="N918" s="290" t="s">
        <v>3203</v>
      </c>
      <c r="O918" s="305" t="s">
        <v>3204</v>
      </c>
      <c r="Q918" s="292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0" t="s">
        <v>3203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0" t="s">
        <v>3203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0" t="s">
        <v>3203</v>
      </c>
      <c r="Z918" t="str">
        <f>IFERROR(VLOOKUP(ROWS($Z$3:Z918),$X$3:$Y$992,2,0),"")</f>
        <v>Poskytování hlasových služeb přes pevnou telekomunikační síť</v>
      </c>
    </row>
    <row r="919" spans="13:26">
      <c r="M919" s="289">
        <f>IF(ISNUMBER(SEARCH(ZAKL_DATA!$B$29,N919)),MAX($M$2:M918)+1,0)</f>
        <v>917</v>
      </c>
      <c r="N919" s="290" t="s">
        <v>3205</v>
      </c>
      <c r="O919" s="305" t="s">
        <v>3206</v>
      </c>
      <c r="Q919" s="292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0" t="s">
        <v>3205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0" t="s">
        <v>3205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0" t="s">
        <v>3205</v>
      </c>
      <c r="Z919" t="str">
        <f>IFERROR(VLOOKUP(ROWS($Z$3:Z919),$X$3:$Y$992,2,0),"")</f>
        <v>Pronájem pevné telekomunikační sítě</v>
      </c>
    </row>
    <row r="920" spans="13:26">
      <c r="M920" s="289">
        <f>IF(ISNUMBER(SEARCH(ZAKL_DATA!$B$29,N920)),MAX($M$2:M919)+1,0)</f>
        <v>918</v>
      </c>
      <c r="N920" s="290" t="s">
        <v>3207</v>
      </c>
      <c r="O920" s="305" t="s">
        <v>3208</v>
      </c>
      <c r="Q920" s="292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0" t="s">
        <v>3207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0" t="s">
        <v>3207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0" t="s">
        <v>3207</v>
      </c>
      <c r="Z920" t="str">
        <f>IFERROR(VLOOKUP(ROWS($Z$3:Z920),$X$3:$Y$992,2,0),"")</f>
        <v>Přenos dat přes pevnou telekomunikační síť</v>
      </c>
    </row>
    <row r="921" spans="13:26">
      <c r="M921" s="289">
        <f>IF(ISNUMBER(SEARCH(ZAKL_DATA!$B$29,N921)),MAX($M$2:M920)+1,0)</f>
        <v>919</v>
      </c>
      <c r="N921" s="290" t="s">
        <v>3209</v>
      </c>
      <c r="O921" s="305" t="s">
        <v>3210</v>
      </c>
      <c r="Q921" s="292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0" t="s">
        <v>3209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0" t="s">
        <v>3209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0" t="s">
        <v>3209</v>
      </c>
      <c r="Z921" t="str">
        <f>IFERROR(VLOOKUP(ROWS($Z$3:Z921),$X$3:$Y$992,2,0),"")</f>
        <v>Poskytování přístupu k internetu přes pevnou telekomunikační síť</v>
      </c>
    </row>
    <row r="922" spans="13:26">
      <c r="M922" s="289">
        <f>IF(ISNUMBER(SEARCH(ZAKL_DATA!$B$29,N922)),MAX($M$2:M921)+1,0)</f>
        <v>920</v>
      </c>
      <c r="N922" s="290" t="s">
        <v>3211</v>
      </c>
      <c r="O922" s="305" t="s">
        <v>3212</v>
      </c>
      <c r="Q922" s="292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0" t="s">
        <v>3211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0" t="s">
        <v>3211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0" t="s">
        <v>3211</v>
      </c>
      <c r="Z922" t="str">
        <f>IFERROR(VLOOKUP(ROWS($Z$3:Z922),$X$3:$Y$992,2,0),"")</f>
        <v>Ostatní činnosti související s pevnou telekomunikační sítí</v>
      </c>
    </row>
    <row r="923" spans="13:26">
      <c r="M923" s="289">
        <f>IF(ISNUMBER(SEARCH(ZAKL_DATA!$B$29,N923)),MAX($M$2:M922)+1,0)</f>
        <v>921</v>
      </c>
      <c r="N923" s="290" t="s">
        <v>3213</v>
      </c>
      <c r="O923" s="305" t="s">
        <v>3214</v>
      </c>
      <c r="Q923" s="292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0" t="s">
        <v>3213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0" t="s">
        <v>3213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0" t="s">
        <v>3213</v>
      </c>
      <c r="Z923" t="str">
        <f>IFERROR(VLOOKUP(ROWS($Z$3:Z923),$X$3:$Y$992,2,0),"")</f>
        <v>Poskytování hlasových služeb přes bezdrátovou telekomunikační síť</v>
      </c>
    </row>
    <row r="924" spans="13:26">
      <c r="M924" s="289">
        <f>IF(ISNUMBER(SEARCH(ZAKL_DATA!$B$29,N924)),MAX($M$2:M923)+1,0)</f>
        <v>922</v>
      </c>
      <c r="N924" s="290" t="s">
        <v>3215</v>
      </c>
      <c r="O924" s="305" t="s">
        <v>3216</v>
      </c>
      <c r="Q924" s="292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0" t="s">
        <v>3215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0" t="s">
        <v>3215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0" t="s">
        <v>3215</v>
      </c>
      <c r="Z924" t="str">
        <f>IFERROR(VLOOKUP(ROWS($Z$3:Z924),$X$3:$Y$992,2,0),"")</f>
        <v>Pronájem bezdrátové telekomunikační sítě</v>
      </c>
    </row>
    <row r="925" spans="13:26">
      <c r="M925" s="289">
        <f>IF(ISNUMBER(SEARCH(ZAKL_DATA!$B$29,N925)),MAX($M$2:M924)+1,0)</f>
        <v>923</v>
      </c>
      <c r="N925" s="290" t="s">
        <v>3217</v>
      </c>
      <c r="O925" s="305" t="s">
        <v>3218</v>
      </c>
      <c r="Q925" s="292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0" t="s">
        <v>3217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0" t="s">
        <v>3217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0" t="s">
        <v>3217</v>
      </c>
      <c r="Z925" t="str">
        <f>IFERROR(VLOOKUP(ROWS($Z$3:Z925),$X$3:$Y$992,2,0),"")</f>
        <v>Přenos dat přes bezdrátovou telekomunikační síť</v>
      </c>
    </row>
    <row r="926" spans="13:26">
      <c r="M926" s="289">
        <f>IF(ISNUMBER(SEARCH(ZAKL_DATA!$B$29,N926)),MAX($M$2:M925)+1,0)</f>
        <v>924</v>
      </c>
      <c r="N926" s="290" t="s">
        <v>3219</v>
      </c>
      <c r="O926" s="305" t="s">
        <v>3220</v>
      </c>
      <c r="Q926" s="292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0" t="s">
        <v>3219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0" t="s">
        <v>3219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0" t="s">
        <v>3219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89">
        <f>IF(ISNUMBER(SEARCH(ZAKL_DATA!$B$29,N927)),MAX($M$2:M926)+1,0)</f>
        <v>925</v>
      </c>
      <c r="N927" s="290" t="s">
        <v>3221</v>
      </c>
      <c r="O927" s="305" t="s">
        <v>3222</v>
      </c>
      <c r="Q927" s="292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0" t="s">
        <v>3221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0" t="s">
        <v>3221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0" t="s">
        <v>3221</v>
      </c>
      <c r="Z927" t="str">
        <f>IFERROR(VLOOKUP(ROWS($Z$3:Z927),$X$3:$Y$992,2,0),"")</f>
        <v>Ostatní činnosti související s bezdrátovou telekomunikační sítí</v>
      </c>
    </row>
    <row r="928" spans="13:26">
      <c r="M928" s="289">
        <f>IF(ISNUMBER(SEARCH(ZAKL_DATA!$B$29,N928)),MAX($M$2:M927)+1,0)</f>
        <v>926</v>
      </c>
      <c r="N928" s="290" t="s">
        <v>3223</v>
      </c>
      <c r="O928" s="305" t="s">
        <v>3224</v>
      </c>
      <c r="Q928" s="292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0" t="s">
        <v>3223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0" t="s">
        <v>3223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0" t="s">
        <v>3223</v>
      </c>
      <c r="Z928" t="str">
        <f>IFERROR(VLOOKUP(ROWS($Z$3:Z928),$X$3:$Y$992,2,0),"")</f>
        <v>Poskytování úvěrů společnostmi, které nepřijímají vklady</v>
      </c>
    </row>
    <row r="929" spans="13:26">
      <c r="M929" s="289">
        <f>IF(ISNUMBER(SEARCH(ZAKL_DATA!$B$29,N929)),MAX($M$2:M928)+1,0)</f>
        <v>927</v>
      </c>
      <c r="N929" s="290" t="s">
        <v>3225</v>
      </c>
      <c r="O929" s="305" t="s">
        <v>3226</v>
      </c>
      <c r="Q929" s="292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0" t="s">
        <v>3225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0" t="s">
        <v>3225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0" t="s">
        <v>3225</v>
      </c>
      <c r="Z929" t="str">
        <f>IFERROR(VLOOKUP(ROWS($Z$3:Z929),$X$3:$Y$992,2,0),"")</f>
        <v>Poskytování obchodních úvěrů</v>
      </c>
    </row>
    <row r="930" spans="13:26">
      <c r="M930" s="289">
        <f>IF(ISNUMBER(SEARCH(ZAKL_DATA!$B$29,N930)),MAX($M$2:M929)+1,0)</f>
        <v>928</v>
      </c>
      <c r="N930" s="290" t="s">
        <v>3227</v>
      </c>
      <c r="O930" s="305" t="s">
        <v>3228</v>
      </c>
      <c r="Q930" s="292" t="str">
        <f>IFERROR(VLOOKUP(ROWS($Q$3:Q930),$M$3:$N$992,2,0),"")</f>
        <v>Činnosti zastaváren</v>
      </c>
      <c r="R930">
        <f>IF(ISNUMBER(SEARCH('1Př1'!$A$32,N930)),MAX($M$2:M929)+1,0)</f>
        <v>928</v>
      </c>
      <c r="S930" s="290" t="s">
        <v>3227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0" t="s">
        <v>3227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0" t="s">
        <v>3227</v>
      </c>
      <c r="Z930" t="str">
        <f>IFERROR(VLOOKUP(ROWS($Z$3:Z930),$X$3:$Y$992,2,0),"")</f>
        <v>Činnosti zastaváren</v>
      </c>
    </row>
    <row r="931" spans="13:26">
      <c r="M931" s="289">
        <f>IF(ISNUMBER(SEARCH(ZAKL_DATA!$B$29,N931)),MAX($M$2:M930)+1,0)</f>
        <v>929</v>
      </c>
      <c r="N931" s="290" t="s">
        <v>3229</v>
      </c>
      <c r="O931" s="305" t="s">
        <v>3230</v>
      </c>
      <c r="Q931" s="292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0" t="s">
        <v>3229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0" t="s">
        <v>3229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0" t="s">
        <v>3229</v>
      </c>
      <c r="Z931" t="str">
        <f>IFERROR(VLOOKUP(ROWS($Z$3:Z931),$X$3:$Y$992,2,0),"")</f>
        <v>Ostatní poskytování úvěrů j. n.</v>
      </c>
    </row>
    <row r="932" spans="13:26">
      <c r="M932" s="289">
        <f>IF(ISNUMBER(SEARCH(ZAKL_DATA!$B$29,N932)),MAX($M$2:M931)+1,0)</f>
        <v>930</v>
      </c>
      <c r="N932" s="290" t="s">
        <v>3231</v>
      </c>
      <c r="O932" s="305" t="s">
        <v>3232</v>
      </c>
      <c r="Q932" s="292" t="str">
        <f>IFERROR(VLOOKUP(ROWS($Q$3:Q932),$M$3:$N$992,2,0),"")</f>
        <v>Faktoringové činnosti</v>
      </c>
      <c r="R932">
        <f>IF(ISNUMBER(SEARCH('1Př1'!$A$32,N932)),MAX($M$2:M931)+1,0)</f>
        <v>930</v>
      </c>
      <c r="S932" s="290" t="s">
        <v>3231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0" t="s">
        <v>3231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0" t="s">
        <v>3231</v>
      </c>
      <c r="Z932" t="str">
        <f>IFERROR(VLOOKUP(ROWS($Z$3:Z932),$X$3:$Y$992,2,0),"")</f>
        <v>Faktoringové činnosti</v>
      </c>
    </row>
    <row r="933" spans="13:26">
      <c r="M933" s="289">
        <f>IF(ISNUMBER(SEARCH(ZAKL_DATA!$B$29,N933)),MAX($M$2:M932)+1,0)</f>
        <v>931</v>
      </c>
      <c r="N933" s="290" t="s">
        <v>3233</v>
      </c>
      <c r="O933" s="305" t="s">
        <v>3234</v>
      </c>
      <c r="Q933" s="292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0" t="s">
        <v>3233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0" t="s">
        <v>3233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0" t="s">
        <v>3233</v>
      </c>
      <c r="Z933" t="str">
        <f>IFERROR(VLOOKUP(ROWS($Z$3:Z933),$X$3:$Y$992,2,0),"")</f>
        <v>Obchodování s cennými papíry na vlastní účet</v>
      </c>
    </row>
    <row r="934" spans="13:26">
      <c r="M934" s="289">
        <f>IF(ISNUMBER(SEARCH(ZAKL_DATA!$B$29,N934)),MAX($M$2:M933)+1,0)</f>
        <v>932</v>
      </c>
      <c r="N934" s="290" t="s">
        <v>3235</v>
      </c>
      <c r="O934" s="305" t="s">
        <v>3236</v>
      </c>
      <c r="Q934" s="292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0" t="s">
        <v>3235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0" t="s">
        <v>3235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0" t="s">
        <v>3235</v>
      </c>
      <c r="Z934" t="str">
        <f>IFERROR(VLOOKUP(ROWS($Z$3:Z934),$X$3:$Y$992,2,0),"")</f>
        <v>Jiné finanční zprostředkování j. n.</v>
      </c>
    </row>
    <row r="935" spans="13:26">
      <c r="M935" s="289">
        <f>IF(ISNUMBER(SEARCH(ZAKL_DATA!$B$29,N935)),MAX($M$2:M934)+1,0)</f>
        <v>933</v>
      </c>
      <c r="N935" s="290" t="s">
        <v>3237</v>
      </c>
      <c r="O935" s="305" t="s">
        <v>3238</v>
      </c>
      <c r="Q935" s="292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0" t="s">
        <v>3237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0" t="s">
        <v>3237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0" t="s">
        <v>3237</v>
      </c>
      <c r="Z935" t="str">
        <f>IFERROR(VLOOKUP(ROWS($Z$3:Z935),$X$3:$Y$992,2,0),"")</f>
        <v>Pronájem vlastních nebo pronajatých nemovitostí s bytovými prostory</v>
      </c>
    </row>
    <row r="936" spans="13:26">
      <c r="M936" s="289">
        <f>IF(ISNUMBER(SEARCH(ZAKL_DATA!$B$29,N936)),MAX($M$2:M935)+1,0)</f>
        <v>934</v>
      </c>
      <c r="N936" s="290" t="s">
        <v>3239</v>
      </c>
      <c r="O936" s="305" t="s">
        <v>3240</v>
      </c>
      <c r="Q936" s="292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0" t="s">
        <v>3239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0" t="s">
        <v>3239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0" t="s">
        <v>3239</v>
      </c>
      <c r="Z936" t="str">
        <f>IFERROR(VLOOKUP(ROWS($Z$3:Z936),$X$3:$Y$992,2,0),"")</f>
        <v>Pronájem vlastních nebo pronajatých nemovitostí s nebytovými prostory</v>
      </c>
    </row>
    <row r="937" spans="13:26">
      <c r="M937" s="289">
        <f>IF(ISNUMBER(SEARCH(ZAKL_DATA!$B$29,N937)),MAX($M$2:M936)+1,0)</f>
        <v>935</v>
      </c>
      <c r="N937" s="290" t="s">
        <v>3241</v>
      </c>
      <c r="O937" s="305" t="s">
        <v>3242</v>
      </c>
      <c r="Q937" s="292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0" t="s">
        <v>3241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0" t="s">
        <v>3241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0" t="s">
        <v>3241</v>
      </c>
      <c r="Z937" t="str">
        <f>IFERROR(VLOOKUP(ROWS($Z$3:Z937),$X$3:$Y$992,2,0),"")</f>
        <v>Správa vlastních nebo pronajatých nemovitostí s bytovými prostory</v>
      </c>
    </row>
    <row r="938" spans="13:26">
      <c r="M938" s="289">
        <f>IF(ISNUMBER(SEARCH(ZAKL_DATA!$B$29,N938)),MAX($M$2:M937)+1,0)</f>
        <v>936</v>
      </c>
      <c r="N938" s="290" t="s">
        <v>3243</v>
      </c>
      <c r="O938" s="305" t="s">
        <v>3244</v>
      </c>
      <c r="Q938" s="292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0" t="s">
        <v>3243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0" t="s">
        <v>3243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0" t="s">
        <v>3243</v>
      </c>
      <c r="Z938" t="str">
        <f>IFERROR(VLOOKUP(ROWS($Z$3:Z938),$X$3:$Y$992,2,0),"")</f>
        <v>Správa vlastních nebo pronajatých nemovitostí s nebytovými prostory</v>
      </c>
    </row>
    <row r="939" spans="13:26">
      <c r="M939" s="289">
        <f>IF(ISNUMBER(SEARCH(ZAKL_DATA!$B$29,N939)),MAX($M$2:M938)+1,0)</f>
        <v>937</v>
      </c>
      <c r="N939" s="290" t="s">
        <v>3245</v>
      </c>
      <c r="O939" s="305" t="s">
        <v>3246</v>
      </c>
      <c r="Q939" s="292" t="str">
        <f>IFERROR(VLOOKUP(ROWS($Q$3:Q939),$M$3:$N$992,2,0),"")</f>
        <v>Geologický průzkum</v>
      </c>
      <c r="R939">
        <f>IF(ISNUMBER(SEARCH('1Př1'!$A$32,N939)),MAX($M$2:M938)+1,0)</f>
        <v>937</v>
      </c>
      <c r="S939" s="290" t="s">
        <v>3245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0" t="s">
        <v>3245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0" t="s">
        <v>3245</v>
      </c>
      <c r="Z939" t="str">
        <f>IFERROR(VLOOKUP(ROWS($Z$3:Z939),$X$3:$Y$992,2,0),"")</f>
        <v>Geologický průzkum</v>
      </c>
    </row>
    <row r="940" spans="13:26">
      <c r="M940" s="289">
        <f>IF(ISNUMBER(SEARCH(ZAKL_DATA!$B$29,N940)),MAX($M$2:M939)+1,0)</f>
        <v>938</v>
      </c>
      <c r="N940" s="290" t="s">
        <v>3247</v>
      </c>
      <c r="O940" s="305" t="s">
        <v>3248</v>
      </c>
      <c r="Q940" s="292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0" t="s">
        <v>3247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0" t="s">
        <v>3247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0" t="s">
        <v>3247</v>
      </c>
      <c r="Z940" t="str">
        <f>IFERROR(VLOOKUP(ROWS($Z$3:Z940),$X$3:$Y$992,2,0),"")</f>
        <v>Zeměměřické a kartografické činnosti</v>
      </c>
    </row>
    <row r="941" spans="13:26">
      <c r="M941" s="289">
        <f>IF(ISNUMBER(SEARCH(ZAKL_DATA!$B$29,N941)),MAX($M$2:M940)+1,0)</f>
        <v>939</v>
      </c>
      <c r="N941" s="290" t="s">
        <v>3249</v>
      </c>
      <c r="O941" s="305" t="s">
        <v>3250</v>
      </c>
      <c r="Q941" s="292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0" t="s">
        <v>3249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0" t="s">
        <v>3249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0" t="s">
        <v>3249</v>
      </c>
      <c r="Z941" t="str">
        <f>IFERROR(VLOOKUP(ROWS($Z$3:Z941),$X$3:$Y$992,2,0),"")</f>
        <v>Hydrometeorologické a meteorologické činnosti</v>
      </c>
    </row>
    <row r="942" spans="13:26">
      <c r="M942" s="289">
        <f>IF(ISNUMBER(SEARCH(ZAKL_DATA!$B$29,N942)),MAX($M$2:M941)+1,0)</f>
        <v>940</v>
      </c>
      <c r="N942" s="290" t="s">
        <v>3251</v>
      </c>
      <c r="O942" s="305" t="s">
        <v>3252</v>
      </c>
      <c r="Q942" s="292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0" t="s">
        <v>3251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0" t="s">
        <v>3251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0" t="s">
        <v>3251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89">
        <f>IF(ISNUMBER(SEARCH(ZAKL_DATA!$B$29,N943)),MAX($M$2:M942)+1,0)</f>
        <v>941</v>
      </c>
      <c r="N943" s="290" t="s">
        <v>3253</v>
      </c>
      <c r="O943" s="305" t="s">
        <v>3254</v>
      </c>
      <c r="Q943" s="292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0" t="s">
        <v>3253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0" t="s">
        <v>3253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0" t="s">
        <v>3253</v>
      </c>
      <c r="Z943" t="str">
        <f>IFERROR(VLOOKUP(ROWS($Z$3:Z943),$X$3:$Y$992,2,0),"")</f>
        <v>Zkoušky a analýzy vyhrazených technických zařízení</v>
      </c>
    </row>
    <row r="944" spans="13:26">
      <c r="M944" s="289">
        <f>IF(ISNUMBER(SEARCH(ZAKL_DATA!$B$29,N944)),MAX($M$2:M943)+1,0)</f>
        <v>942</v>
      </c>
      <c r="N944" s="290" t="s">
        <v>3255</v>
      </c>
      <c r="O944" s="305" t="s">
        <v>3256</v>
      </c>
      <c r="Q944" s="292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0" t="s">
        <v>3255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0" t="s">
        <v>3255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0" t="s">
        <v>3255</v>
      </c>
      <c r="Z944" t="str">
        <f>IFERROR(VLOOKUP(ROWS($Z$3:Z944),$X$3:$Y$992,2,0),"")</f>
        <v>Ostatní technické zkouky a analýzy</v>
      </c>
    </row>
    <row r="945" spans="13:26">
      <c r="M945" s="289">
        <f>IF(ISNUMBER(SEARCH(ZAKL_DATA!$B$29,N945)),MAX($M$2:M944)+1,0)</f>
        <v>943</v>
      </c>
      <c r="N945" s="290" t="s">
        <v>3257</v>
      </c>
      <c r="O945" s="305" t="s">
        <v>2900</v>
      </c>
      <c r="Q945" s="292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0" t="s">
        <v>3257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0" t="s">
        <v>3257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0" t="s">
        <v>3257</v>
      </c>
      <c r="Z945" t="str">
        <f>IFERROR(VLOOKUP(ROWS($Z$3:Z945),$X$3:$Y$992,2,0),"")</f>
        <v>Ostatní výzkum a vývoj v oblasti přírodních a technických věd</v>
      </c>
    </row>
    <row r="946" spans="13:26">
      <c r="M946" s="289">
        <f>IF(ISNUMBER(SEARCH(ZAKL_DATA!$B$29,N946)),MAX($M$2:M945)+1,0)</f>
        <v>944</v>
      </c>
      <c r="N946" s="290" t="s">
        <v>3258</v>
      </c>
      <c r="O946" s="305" t="s">
        <v>3259</v>
      </c>
      <c r="Q946" s="292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0" t="s">
        <v>3258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0" t="s">
        <v>3258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0" t="s">
        <v>3258</v>
      </c>
      <c r="Z946" t="str">
        <f>IFERROR(VLOOKUP(ROWS($Z$3:Z946),$X$3:$Y$992,2,0),"")</f>
        <v>Výzkum a vývoj v oblasti lékařských věd</v>
      </c>
    </row>
    <row r="947" spans="13:26">
      <c r="M947" s="289">
        <f>IF(ISNUMBER(SEARCH(ZAKL_DATA!$B$29,N947)),MAX($M$2:M946)+1,0)</f>
        <v>945</v>
      </c>
      <c r="N947" s="290" t="s">
        <v>3260</v>
      </c>
      <c r="O947" s="305" t="s">
        <v>3261</v>
      </c>
      <c r="Q947" s="292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0" t="s">
        <v>3260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0" t="s">
        <v>3260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0" t="s">
        <v>3260</v>
      </c>
      <c r="Z947" t="str">
        <f>IFERROR(VLOOKUP(ROWS($Z$3:Z947),$X$3:$Y$992,2,0),"")</f>
        <v>Výzkum a vývoj v oblasti technických věd</v>
      </c>
    </row>
    <row r="948" spans="13:26">
      <c r="M948" s="289">
        <f>IF(ISNUMBER(SEARCH(ZAKL_DATA!$B$29,N948)),MAX($M$2:M947)+1,0)</f>
        <v>946</v>
      </c>
      <c r="N948" s="290" t="s">
        <v>3262</v>
      </c>
      <c r="O948" s="305" t="s">
        <v>3263</v>
      </c>
      <c r="Q948" s="292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0" t="s">
        <v>3262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0" t="s">
        <v>3262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0" t="s">
        <v>3262</v>
      </c>
      <c r="Z948" t="str">
        <f>IFERROR(VLOOKUP(ROWS($Z$3:Z948),$X$3:$Y$992,2,0),"")</f>
        <v>Výzkum a vývoj v oblasti jiných přírodních věd</v>
      </c>
    </row>
    <row r="949" spans="13:26">
      <c r="M949" s="289">
        <f>IF(ISNUMBER(SEARCH(ZAKL_DATA!$B$29,N949)),MAX($M$2:M948)+1,0)</f>
        <v>947</v>
      </c>
      <c r="N949" s="290" t="s">
        <v>3264</v>
      </c>
      <c r="O949" s="305" t="s">
        <v>2044</v>
      </c>
      <c r="Q949" s="292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0" t="s">
        <v>3264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0" t="s">
        <v>3264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0" t="s">
        <v>3264</v>
      </c>
      <c r="Z949" t="str">
        <f>IFERROR(VLOOKUP(ROWS($Z$3:Z949),$X$3:$Y$992,2,0),"")</f>
        <v>Ostatní profesní,vědecké a technické činnosti j.n.</v>
      </c>
    </row>
    <row r="950" spans="13:26">
      <c r="M950" s="289">
        <f>IF(ISNUMBER(SEARCH(ZAKL_DATA!$B$29,N950)),MAX($M$2:M949)+1,0)</f>
        <v>948</v>
      </c>
      <c r="N950" s="290" t="s">
        <v>3265</v>
      </c>
      <c r="O950" s="305" t="s">
        <v>3266</v>
      </c>
      <c r="Q950" s="292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0" t="s">
        <v>3265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0" t="s">
        <v>3265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0" t="s">
        <v>3265</v>
      </c>
      <c r="Z950" t="str">
        <f>IFERROR(VLOOKUP(ROWS($Z$3:Z950),$X$3:$Y$992,2,0),"")</f>
        <v>Poradenství v oblasti bezpečnosti a ochrany zdraví při práci</v>
      </c>
    </row>
    <row r="951" spans="13:26">
      <c r="M951" s="289">
        <f>IF(ISNUMBER(SEARCH(ZAKL_DATA!$B$29,N951)),MAX($M$2:M950)+1,0)</f>
        <v>949</v>
      </c>
      <c r="N951" s="290" t="s">
        <v>3267</v>
      </c>
      <c r="O951" s="305" t="s">
        <v>3268</v>
      </c>
      <c r="Q951" s="292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0" t="s">
        <v>3267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0" t="s">
        <v>3267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0" t="s">
        <v>3267</v>
      </c>
      <c r="Z951" t="str">
        <f>IFERROR(VLOOKUP(ROWS($Z$3:Z951),$X$3:$Y$992,2,0),"")</f>
        <v>Poradenství v oblasti požární ochrany</v>
      </c>
    </row>
    <row r="952" spans="13:26">
      <c r="M952" s="289">
        <f>IF(ISNUMBER(SEARCH(ZAKL_DATA!$B$29,N952)),MAX($M$2:M951)+1,0)</f>
        <v>950</v>
      </c>
      <c r="N952" s="290" t="s">
        <v>3269</v>
      </c>
      <c r="O952" s="305" t="s">
        <v>3270</v>
      </c>
      <c r="Q952" s="292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0" t="s">
        <v>3269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0" t="s">
        <v>3269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0" t="s">
        <v>3269</v>
      </c>
      <c r="Z952" t="str">
        <f>IFERROR(VLOOKUP(ROWS($Z$3:Z952),$X$3:$Y$992,2,0),"")</f>
        <v>Jiné profesní, vědecké a technické činnosti j. n.</v>
      </c>
    </row>
    <row r="953" spans="13:26">
      <c r="M953" s="289">
        <f>IF(ISNUMBER(SEARCH(ZAKL_DATA!$B$29,N953)),MAX($M$2:M952)+1,0)</f>
        <v>951</v>
      </c>
      <c r="N953" s="290" t="s">
        <v>3271</v>
      </c>
      <c r="O953" s="305" t="s">
        <v>3272</v>
      </c>
      <c r="Q953" s="292" t="str">
        <f>IFERROR(VLOOKUP(ROWS($Q$3:Q953),$M$3:$N$992,2,0),"")</f>
        <v>Průvodcovské činnosti</v>
      </c>
      <c r="R953">
        <f>IF(ISNUMBER(SEARCH('1Př1'!$A$32,N953)),MAX($M$2:M952)+1,0)</f>
        <v>951</v>
      </c>
      <c r="S953" s="290" t="s">
        <v>3271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0" t="s">
        <v>3271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0" t="s">
        <v>3271</v>
      </c>
      <c r="Z953" t="str">
        <f>IFERROR(VLOOKUP(ROWS($Z$3:Z953),$X$3:$Y$992,2,0),"")</f>
        <v>Průvodcovské činnosti</v>
      </c>
    </row>
    <row r="954" spans="13:26">
      <c r="M954" s="289">
        <f>IF(ISNUMBER(SEARCH(ZAKL_DATA!$B$29,N954)),MAX($M$2:M953)+1,0)</f>
        <v>952</v>
      </c>
      <c r="N954" s="290" t="s">
        <v>3273</v>
      </c>
      <c r="O954" s="305" t="s">
        <v>3274</v>
      </c>
      <c r="Q954" s="292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0" t="s">
        <v>3273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0" t="s">
        <v>3273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0" t="s">
        <v>3273</v>
      </c>
      <c r="Z954" t="str">
        <f>IFERROR(VLOOKUP(ROWS($Z$3:Z954),$X$3:$Y$992,2,0),"")</f>
        <v>Ostatní rezervační a související činnosti j. n.</v>
      </c>
    </row>
    <row r="955" spans="13:26">
      <c r="M955" s="289">
        <f>IF(ISNUMBER(SEARCH(ZAKL_DATA!$B$29,N955)),MAX($M$2:M954)+1,0)</f>
        <v>953</v>
      </c>
      <c r="N955" s="290" t="s">
        <v>3275</v>
      </c>
      <c r="O955" s="305" t="s">
        <v>3276</v>
      </c>
      <c r="Q955" s="292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0" t="s">
        <v>3275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0" t="s">
        <v>3275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0" t="s">
        <v>3275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89">
        <f>IF(ISNUMBER(SEARCH(ZAKL_DATA!$B$29,N956)),MAX($M$2:M955)+1,0)</f>
        <v>954</v>
      </c>
      <c r="N956" s="290" t="s">
        <v>3277</v>
      </c>
      <c r="O956" s="305" t="s">
        <v>3278</v>
      </c>
      <c r="Q956" s="292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0" t="s">
        <v>3277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0" t="s">
        <v>3277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0" t="s">
        <v>3277</v>
      </c>
      <c r="Z956" t="str">
        <f>IFERROR(VLOOKUP(ROWS($Z$3:Z956),$X$3:$Y$992,2,0),"")</f>
        <v>Rozvíjení vzájemného přátelství a porozumění mezi národy</v>
      </c>
    </row>
    <row r="957" spans="13:26">
      <c r="M957" s="289">
        <f>IF(ISNUMBER(SEARCH(ZAKL_DATA!$B$29,N957)),MAX($M$2:M956)+1,0)</f>
        <v>955</v>
      </c>
      <c r="N957" s="290" t="s">
        <v>3279</v>
      </c>
      <c r="O957" s="305" t="s">
        <v>3280</v>
      </c>
      <c r="Q957" s="292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0" t="s">
        <v>3279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0" t="s">
        <v>3279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0" t="s">
        <v>3279</v>
      </c>
      <c r="Z957" t="str">
        <f>IFERROR(VLOOKUP(ROWS($Z$3:Z957),$X$3:$Y$992,2,0),"")</f>
        <v>Ostatní činnosti v oblasti zahraničních věcí</v>
      </c>
    </row>
    <row r="958" spans="13:26">
      <c r="M958" s="289">
        <f>IF(ISNUMBER(SEARCH(ZAKL_DATA!$B$29,N958)),MAX($M$2:M957)+1,0)</f>
        <v>956</v>
      </c>
      <c r="N958" s="290" t="s">
        <v>3281</v>
      </c>
      <c r="O958" s="305" t="s">
        <v>3282</v>
      </c>
      <c r="Q958" s="292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0" t="s">
        <v>3281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0" t="s">
        <v>3281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0" t="s">
        <v>3281</v>
      </c>
      <c r="Z958" t="str">
        <f>IFERROR(VLOOKUP(ROWS($Z$3:Z958),$X$3:$Y$992,2,0),"")</f>
        <v>Základní vzdělávání na druhém stupni základních škol</v>
      </c>
    </row>
    <row r="959" spans="13:26">
      <c r="M959" s="289">
        <f>IF(ISNUMBER(SEARCH(ZAKL_DATA!$B$29,N959)),MAX($M$2:M958)+1,0)</f>
        <v>957</v>
      </c>
      <c r="N959" s="290" t="s">
        <v>3283</v>
      </c>
      <c r="O959" s="305" t="s">
        <v>3284</v>
      </c>
      <c r="Q959" s="292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0" t="s">
        <v>3283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0" t="s">
        <v>3283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0" t="s">
        <v>3283</v>
      </c>
      <c r="Z959" t="str">
        <f>IFERROR(VLOOKUP(ROWS($Z$3:Z959),$X$3:$Y$992,2,0),"")</f>
        <v>Střední všeobecné vzdělávání</v>
      </c>
    </row>
    <row r="960" spans="13:26">
      <c r="M960" s="289">
        <f>IF(ISNUMBER(SEARCH(ZAKL_DATA!$B$29,N960)),MAX($M$2:M959)+1,0)</f>
        <v>958</v>
      </c>
      <c r="N960" s="290" t="s">
        <v>3285</v>
      </c>
      <c r="O960" s="305" t="s">
        <v>3286</v>
      </c>
      <c r="Q960" s="292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0" t="s">
        <v>3285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0" t="s">
        <v>3285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0" t="s">
        <v>3285</v>
      </c>
      <c r="Z960" t="str">
        <f>IFERROR(VLOOKUP(ROWS($Z$3:Z960),$X$3:$Y$992,2,0),"")</f>
        <v>Střední odborné vzdělávání na učilištích</v>
      </c>
    </row>
    <row r="961" spans="13:26">
      <c r="M961" s="289">
        <f>IF(ISNUMBER(SEARCH(ZAKL_DATA!$B$29,N961)),MAX($M$2:M960)+1,0)</f>
        <v>959</v>
      </c>
      <c r="N961" s="290" t="s">
        <v>3287</v>
      </c>
      <c r="O961" s="305" t="s">
        <v>3288</v>
      </c>
      <c r="Q961" s="292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0" t="s">
        <v>3287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0" t="s">
        <v>3287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0" t="s">
        <v>3287</v>
      </c>
      <c r="Z961" t="str">
        <f>IFERROR(VLOOKUP(ROWS($Z$3:Z961),$X$3:$Y$992,2,0),"")</f>
        <v>Střední odborné vzdělávání na středních odborných školách</v>
      </c>
    </row>
    <row r="962" spans="13:26">
      <c r="M962" s="289">
        <f>IF(ISNUMBER(SEARCH(ZAKL_DATA!$B$29,N962)),MAX($M$2:M961)+1,0)</f>
        <v>960</v>
      </c>
      <c r="N962" s="290" t="s">
        <v>3289</v>
      </c>
      <c r="O962" s="305" t="s">
        <v>3290</v>
      </c>
      <c r="Q962" s="292" t="str">
        <f>IFERROR(VLOOKUP(ROWS($Q$3:Q962),$M$3:$N$992,2,0),"")</f>
        <v>Činnosti autoškol</v>
      </c>
      <c r="R962">
        <f>IF(ISNUMBER(SEARCH('1Př1'!$A$32,N962)),MAX($M$2:M961)+1,0)</f>
        <v>960</v>
      </c>
      <c r="S962" s="290" t="s">
        <v>3289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0" t="s">
        <v>3289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0" t="s">
        <v>3289</v>
      </c>
      <c r="Z962" t="str">
        <f>IFERROR(VLOOKUP(ROWS($Z$3:Z962),$X$3:$Y$992,2,0),"")</f>
        <v>Činnosti autoškol</v>
      </c>
    </row>
    <row r="963" spans="13:26">
      <c r="M963" s="289">
        <f>IF(ISNUMBER(SEARCH(ZAKL_DATA!$B$29,N963)),MAX($M$2:M962)+1,0)</f>
        <v>961</v>
      </c>
      <c r="N963" s="290" t="s">
        <v>3291</v>
      </c>
      <c r="O963" s="305" t="s">
        <v>3292</v>
      </c>
      <c r="Q963" s="292" t="str">
        <f>IFERROR(VLOOKUP(ROWS($Q$3:Q963),$M$3:$N$992,2,0),"")</f>
        <v>Činnosti leteckých škol</v>
      </c>
      <c r="R963">
        <f>IF(ISNUMBER(SEARCH('1Př1'!$A$32,N963)),MAX($M$2:M962)+1,0)</f>
        <v>961</v>
      </c>
      <c r="S963" s="290" t="s">
        <v>3291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0" t="s">
        <v>3291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0" t="s">
        <v>3291</v>
      </c>
      <c r="Z963" t="str">
        <f>IFERROR(VLOOKUP(ROWS($Z$3:Z963),$X$3:$Y$992,2,0),"")</f>
        <v>Činnosti leteckých škol</v>
      </c>
    </row>
    <row r="964" spans="13:26">
      <c r="M964" s="289">
        <f>IF(ISNUMBER(SEARCH(ZAKL_DATA!$B$29,N964)),MAX($M$2:M963)+1,0)</f>
        <v>962</v>
      </c>
      <c r="N964" s="290" t="s">
        <v>3293</v>
      </c>
      <c r="O964" s="305" t="s">
        <v>3294</v>
      </c>
      <c r="Q964" s="292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0" t="s">
        <v>3293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0" t="s">
        <v>3293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0" t="s">
        <v>3293</v>
      </c>
      <c r="Z964" t="str">
        <f>IFERROR(VLOOKUP(ROWS($Z$3:Z964),$X$3:$Y$992,2,0),"")</f>
        <v>Činnosti ostatních škol řízení</v>
      </c>
    </row>
    <row r="965" spans="13:26">
      <c r="M965" s="289">
        <f>IF(ISNUMBER(SEARCH(ZAKL_DATA!$B$29,N965)),MAX($M$2:M964)+1,0)</f>
        <v>963</v>
      </c>
      <c r="N965" s="290" t="s">
        <v>3295</v>
      </c>
      <c r="O965" s="305" t="s">
        <v>3296</v>
      </c>
      <c r="Q965" s="292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0" t="s">
        <v>3295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0" t="s">
        <v>3295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0" t="s">
        <v>3295</v>
      </c>
      <c r="Z965" t="str">
        <f>IFERROR(VLOOKUP(ROWS($Z$3:Z965),$X$3:$Y$992,2,0),"")</f>
        <v>Vzdělávání v jazykových školách</v>
      </c>
    </row>
    <row r="966" spans="13:26">
      <c r="M966" s="289">
        <f>IF(ISNUMBER(SEARCH(ZAKL_DATA!$B$29,N966)),MAX($M$2:M965)+1,0)</f>
        <v>964</v>
      </c>
      <c r="N966" s="290" t="s">
        <v>3297</v>
      </c>
      <c r="O966" s="305" t="s">
        <v>3298</v>
      </c>
      <c r="Q966" s="292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0" t="s">
        <v>3297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0" t="s">
        <v>3297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0" t="s">
        <v>3297</v>
      </c>
      <c r="Z966" t="str">
        <f>IFERROR(VLOOKUP(ROWS($Z$3:Z966),$X$3:$Y$992,2,0),"")</f>
        <v>Environmentální vzdělávání</v>
      </c>
    </row>
    <row r="967" spans="13:26">
      <c r="M967" s="289">
        <f>IF(ISNUMBER(SEARCH(ZAKL_DATA!$B$29,N967)),MAX($M$2:M966)+1,0)</f>
        <v>965</v>
      </c>
      <c r="N967" s="290" t="s">
        <v>3299</v>
      </c>
      <c r="O967" s="305" t="s">
        <v>3300</v>
      </c>
      <c r="Q967" s="292" t="str">
        <f>IFERROR(VLOOKUP(ROWS($Q$3:Q967),$M$3:$N$992,2,0),"")</f>
        <v>Inovační vzdělávání</v>
      </c>
      <c r="R967">
        <f>IF(ISNUMBER(SEARCH('1Př1'!$A$32,N967)),MAX($M$2:M966)+1,0)</f>
        <v>965</v>
      </c>
      <c r="S967" s="290" t="s">
        <v>3299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0" t="s">
        <v>3299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0" t="s">
        <v>3299</v>
      </c>
      <c r="Z967" t="str">
        <f>IFERROR(VLOOKUP(ROWS($Z$3:Z967),$X$3:$Y$992,2,0),"")</f>
        <v>Inovační vzdělávání</v>
      </c>
    </row>
    <row r="968" spans="13:26">
      <c r="M968" s="289">
        <f>IF(ISNUMBER(SEARCH(ZAKL_DATA!$B$29,N968)),MAX($M$2:M967)+1,0)</f>
        <v>966</v>
      </c>
      <c r="N968" s="290" t="s">
        <v>3301</v>
      </c>
      <c r="O968" s="305" t="s">
        <v>3302</v>
      </c>
      <c r="Q968" s="292" t="str">
        <f>IFERROR(VLOOKUP(ROWS($Q$3:Q968),$M$3:$N$992,2,0),"")</f>
        <v>Jiné vzdělávání j. n.</v>
      </c>
      <c r="R968">
        <f>IF(ISNUMBER(SEARCH('1Př1'!$A$32,N968)),MAX($M$2:M967)+1,0)</f>
        <v>966</v>
      </c>
      <c r="S968" s="290" t="s">
        <v>3301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0" t="s">
        <v>3301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0" t="s">
        <v>3301</v>
      </c>
      <c r="Z968" t="str">
        <f>IFERROR(VLOOKUP(ROWS($Z$3:Z968),$X$3:$Y$992,2,0),"")</f>
        <v>Jiné vzdělávání j. n.</v>
      </c>
    </row>
    <row r="969" spans="13:26">
      <c r="M969" s="289">
        <f>IF(ISNUMBER(SEARCH(ZAKL_DATA!$B$29,N969)),MAX($M$2:M968)+1,0)</f>
        <v>967</v>
      </c>
      <c r="N969" s="290" t="s">
        <v>3303</v>
      </c>
      <c r="O969" s="305" t="s">
        <v>3304</v>
      </c>
      <c r="Q969" s="292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0" t="s">
        <v>3303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0" t="s">
        <v>3303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0" t="s">
        <v>3303</v>
      </c>
      <c r="Z969" t="str">
        <f>IFERROR(VLOOKUP(ROWS($Z$3:Z969),$X$3:$Y$992,2,0),"")</f>
        <v>Činnosti související s ochranou veřejného zdraví</v>
      </c>
    </row>
    <row r="970" spans="13:26">
      <c r="M970" s="289">
        <f>IF(ISNUMBER(SEARCH(ZAKL_DATA!$B$29,N970)),MAX($M$2:M969)+1,0)</f>
        <v>968</v>
      </c>
      <c r="N970" s="290" t="s">
        <v>3305</v>
      </c>
      <c r="O970" s="305" t="s">
        <v>3306</v>
      </c>
      <c r="Q970" s="292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0" t="s">
        <v>3305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0" t="s">
        <v>3305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0" t="s">
        <v>3305</v>
      </c>
      <c r="Z970" t="str">
        <f>IFERROR(VLOOKUP(ROWS($Z$3:Z970),$X$3:$Y$992,2,0),"")</f>
        <v>Ostatní činnosti související se zdravotní péčí j. n.</v>
      </c>
    </row>
    <row r="971" spans="13:26">
      <c r="M971" s="289">
        <f>IF(ISNUMBER(SEARCH(ZAKL_DATA!$B$29,N971)),MAX($M$2:M970)+1,0)</f>
        <v>969</v>
      </c>
      <c r="N971" s="290" t="s">
        <v>3307</v>
      </c>
      <c r="O971" s="305" t="s">
        <v>3308</v>
      </c>
      <c r="Q971" s="292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0" t="s">
        <v>3307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0" t="s">
        <v>3307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0" t="s">
        <v>3307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89">
        <f>IF(ISNUMBER(SEARCH(ZAKL_DATA!$B$29,N972)),MAX($M$2:M971)+1,0)</f>
        <v>970</v>
      </c>
      <c r="N972" s="290" t="s">
        <v>3309</v>
      </c>
      <c r="O972" s="305" t="s">
        <v>3310</v>
      </c>
      <c r="Q972" s="292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0" t="s">
        <v>3309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0" t="s">
        <v>3309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0" t="s">
        <v>3309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89">
        <f>IF(ISNUMBER(SEARCH(ZAKL_DATA!$B$29,N973)),MAX($M$2:M972)+1,0)</f>
        <v>971</v>
      </c>
      <c r="N973" s="290" t="s">
        <v>3311</v>
      </c>
      <c r="O973" s="305" t="s">
        <v>3312</v>
      </c>
      <c r="Q973" s="292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0" t="s">
        <v>3311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0" t="s">
        <v>3311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0" t="s">
        <v>3311</v>
      </c>
      <c r="Z973" t="str">
        <f>IFERROR(VLOOKUP(ROWS($Z$3:Z973),$X$3:$Y$992,2,0),"")</f>
        <v>Sociální péče v domovech pro seniory</v>
      </c>
    </row>
    <row r="974" spans="13:26">
      <c r="M974" s="289">
        <f>IF(ISNUMBER(SEARCH(ZAKL_DATA!$B$29,N974)),MAX($M$2:M973)+1,0)</f>
        <v>972</v>
      </c>
      <c r="N974" s="290" t="s">
        <v>3313</v>
      </c>
      <c r="O974" s="305" t="s">
        <v>3314</v>
      </c>
      <c r="Q974" s="292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0" t="s">
        <v>3313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0" t="s">
        <v>3313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0" t="s">
        <v>3313</v>
      </c>
      <c r="Z974" t="str">
        <f>IFERROR(VLOOKUP(ROWS($Z$3:Z974),$X$3:$Y$992,2,0),"")</f>
        <v>Sociální péče v domovech pro osoby se zdravotním postižením</v>
      </c>
    </row>
    <row r="975" spans="13:26">
      <c r="M975" s="289">
        <f>IF(ISNUMBER(SEARCH(ZAKL_DATA!$B$29,N975)),MAX($M$2:M974)+1,0)</f>
        <v>973</v>
      </c>
      <c r="N975" s="290" t="s">
        <v>3315</v>
      </c>
      <c r="O975" s="305" t="s">
        <v>2121</v>
      </c>
      <c r="Q975" s="292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0" t="s">
        <v>3315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0" t="s">
        <v>3315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0" t="s">
        <v>3315</v>
      </c>
      <c r="Z975" t="str">
        <f>IFERROR(VLOOKUP(ROWS($Z$3:Z975),$X$3:$Y$992,2,0),"")</f>
        <v>Mimoústavní sociální péče o seniory a zdravotně postižené osoby</v>
      </c>
    </row>
    <row r="976" spans="13:26">
      <c r="M976" s="289">
        <f>IF(ISNUMBER(SEARCH(ZAKL_DATA!$B$29,N976)),MAX($M$2:M975)+1,0)</f>
        <v>974</v>
      </c>
      <c r="N976" s="290" t="s">
        <v>3316</v>
      </c>
      <c r="O976" s="305" t="s">
        <v>3317</v>
      </c>
      <c r="Q976" s="292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0" t="s">
        <v>3316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0" t="s">
        <v>3316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0" t="s">
        <v>3316</v>
      </c>
      <c r="Z976" t="str">
        <f>IFERROR(VLOOKUP(ROWS($Z$3:Z976),$X$3:$Y$992,2,0),"")</f>
        <v>Ambulantní nebo terénní sociální služby pro seniory</v>
      </c>
    </row>
    <row r="977" spans="13:26">
      <c r="M977" s="289">
        <f>IF(ISNUMBER(SEARCH(ZAKL_DATA!$B$29,N977)),MAX($M$2:M976)+1,0)</f>
        <v>975</v>
      </c>
      <c r="N977" s="290" t="s">
        <v>3318</v>
      </c>
      <c r="O977" s="305" t="s">
        <v>3319</v>
      </c>
      <c r="Q977" s="292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0" t="s">
        <v>3318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0" t="s">
        <v>3318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0" t="s">
        <v>3318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89">
        <f>IF(ISNUMBER(SEARCH(ZAKL_DATA!$B$29,N978)),MAX($M$2:M977)+1,0)</f>
        <v>976</v>
      </c>
      <c r="N978" s="290" t="s">
        <v>3320</v>
      </c>
      <c r="O978" s="305" t="s">
        <v>3321</v>
      </c>
      <c r="Q978" s="292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0" t="s">
        <v>3320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0" t="s">
        <v>3320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0" t="s">
        <v>3320</v>
      </c>
      <c r="Z978" t="str">
        <f>IFERROR(VLOOKUP(ROWS($Z$3:Z978),$X$3:$Y$992,2,0),"")</f>
        <v>Sociální služby pro uprchlíky, oběti katastrof</v>
      </c>
    </row>
    <row r="979" spans="13:26">
      <c r="M979" s="289">
        <f>IF(ISNUMBER(SEARCH(ZAKL_DATA!$B$29,N979)),MAX($M$2:M978)+1,0)</f>
        <v>977</v>
      </c>
      <c r="N979" s="290" t="s">
        <v>3322</v>
      </c>
      <c r="O979" s="305" t="s">
        <v>3323</v>
      </c>
      <c r="Q979" s="292" t="str">
        <f>IFERROR(VLOOKUP(ROWS($Q$3:Q979),$M$3:$N$992,2,0),"")</f>
        <v>Sociální prevence</v>
      </c>
      <c r="R979">
        <f>IF(ISNUMBER(SEARCH('1Př1'!$A$32,N979)),MAX($M$2:M978)+1,0)</f>
        <v>977</v>
      </c>
      <c r="S979" s="290" t="s">
        <v>3322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0" t="s">
        <v>3322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0" t="s">
        <v>3322</v>
      </c>
      <c r="Z979" t="str">
        <f>IFERROR(VLOOKUP(ROWS($Z$3:Z979),$X$3:$Y$992,2,0),"")</f>
        <v>Sociální prevence</v>
      </c>
    </row>
    <row r="980" spans="13:26">
      <c r="M980" s="289">
        <f>IF(ISNUMBER(SEARCH(ZAKL_DATA!$B$29,N980)),MAX($M$2:M979)+1,0)</f>
        <v>978</v>
      </c>
      <c r="N980" s="290" t="s">
        <v>3324</v>
      </c>
      <c r="O980" s="305" t="s">
        <v>3325</v>
      </c>
      <c r="Q980" s="292" t="str">
        <f>IFERROR(VLOOKUP(ROWS($Q$3:Q980),$M$3:$N$992,2,0),"")</f>
        <v>Sociální rehabilitace</v>
      </c>
      <c r="R980">
        <f>IF(ISNUMBER(SEARCH('1Př1'!$A$32,N980)),MAX($M$2:M979)+1,0)</f>
        <v>978</v>
      </c>
      <c r="S980" s="290" t="s">
        <v>3324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0" t="s">
        <v>3324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0" t="s">
        <v>3324</v>
      </c>
      <c r="Z980" t="str">
        <f>IFERROR(VLOOKUP(ROWS($Z$3:Z980),$X$3:$Y$992,2,0),"")</f>
        <v>Sociální rehabilitace</v>
      </c>
    </row>
    <row r="981" spans="13:26">
      <c r="M981" s="289">
        <f>IF(ISNUMBER(SEARCH(ZAKL_DATA!$B$29,N981)),MAX($M$2:M980)+1,0)</f>
        <v>979</v>
      </c>
      <c r="N981" s="290" t="s">
        <v>3326</v>
      </c>
      <c r="O981" s="305" t="s">
        <v>3327</v>
      </c>
      <c r="Q981" s="292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0" t="s">
        <v>3326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0" t="s">
        <v>3326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0" t="s">
        <v>3326</v>
      </c>
      <c r="Z981" t="str">
        <f>IFERROR(VLOOKUP(ROWS($Z$3:Z981),$X$3:$Y$992,2,0),"")</f>
        <v>Jiné ambulantní nebo terénní sociální služby j. n.</v>
      </c>
    </row>
    <row r="982" spans="13:26">
      <c r="M982" s="289">
        <f>IF(ISNUMBER(SEARCH(ZAKL_DATA!$B$29,N982)),MAX($M$2:M981)+1,0)</f>
        <v>980</v>
      </c>
      <c r="N982" s="290" t="s">
        <v>3328</v>
      </c>
      <c r="O982" s="305" t="s">
        <v>3008</v>
      </c>
      <c r="Q982" s="292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0" t="s">
        <v>3328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0" t="s">
        <v>3328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0" t="s">
        <v>3328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89">
        <f>IF(ISNUMBER(SEARCH(ZAKL_DATA!$B$29,N983)),MAX($M$2:M982)+1,0)</f>
        <v>981</v>
      </c>
      <c r="N983" s="290" t="s">
        <v>3329</v>
      </c>
      <c r="O983" s="305" t="s">
        <v>3330</v>
      </c>
      <c r="Q983" s="292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0" t="s">
        <v>3329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0" t="s">
        <v>3329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0" t="s">
        <v>3329</v>
      </c>
      <c r="Z983" t="str">
        <f>IFERROR(VLOOKUP(ROWS($Z$3:Z983),$X$3:$Y$992,2,0),"")</f>
        <v>Činnosti botanických a zoologických zahrad</v>
      </c>
    </row>
    <row r="984" spans="13:26">
      <c r="M984" s="289">
        <f>IF(ISNUMBER(SEARCH(ZAKL_DATA!$B$29,N984)),MAX($M$2:M983)+1,0)</f>
        <v>982</v>
      </c>
      <c r="N984" s="290" t="s">
        <v>3331</v>
      </c>
      <c r="O984" s="305" t="s">
        <v>3332</v>
      </c>
      <c r="Q984" s="292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0" t="s">
        <v>3331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0" t="s">
        <v>3331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0" t="s">
        <v>3331</v>
      </c>
      <c r="Z984" t="str">
        <f>IFERROR(VLOOKUP(ROWS($Z$3:Z984),$X$3:$Y$992,2,0),"")</f>
        <v>Činnosti přírodních rezervací a národních parků</v>
      </c>
    </row>
    <row r="985" spans="13:26">
      <c r="M985" s="289">
        <f>IF(ISNUMBER(SEARCH(ZAKL_DATA!$B$29,N985)),MAX($M$2:M984)+1,0)</f>
        <v>983</v>
      </c>
      <c r="N985" s="290" t="s">
        <v>3333</v>
      </c>
      <c r="O985" s="305" t="s">
        <v>3334</v>
      </c>
      <c r="Q985" s="292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0" t="s">
        <v>3333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0" t="s">
        <v>3333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0" t="s">
        <v>3333</v>
      </c>
      <c r="Z985" t="str">
        <f>IFERROR(VLOOKUP(ROWS($Z$3:Z985),$X$3:$Y$992,2,0),"")</f>
        <v>Činnosti organizací dětí a mládeže</v>
      </c>
    </row>
    <row r="986" spans="13:26">
      <c r="M986" s="289">
        <f>IF(ISNUMBER(SEARCH(ZAKL_DATA!$B$29,N986)),MAX($M$2:M985)+1,0)</f>
        <v>984</v>
      </c>
      <c r="N986" s="290" t="s">
        <v>3335</v>
      </c>
      <c r="O986" s="305" t="s">
        <v>3336</v>
      </c>
      <c r="Q986" s="292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0" t="s">
        <v>3335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0" t="s">
        <v>3335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0" t="s">
        <v>3335</v>
      </c>
      <c r="Z986" t="str">
        <f>IFERROR(VLOOKUP(ROWS($Z$3:Z986),$X$3:$Y$992,2,0),"")</f>
        <v>Činnosti organizací na podporu kulturní činnosti</v>
      </c>
    </row>
    <row r="987" spans="13:26">
      <c r="M987" s="289">
        <f>IF(ISNUMBER(SEARCH(ZAKL_DATA!$B$29,N987)),MAX($M$2:M986)+1,0)</f>
        <v>985</v>
      </c>
      <c r="N987" s="290" t="s">
        <v>3337</v>
      </c>
      <c r="O987" s="305" t="s">
        <v>3338</v>
      </c>
      <c r="Q987" s="292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0" t="s">
        <v>3337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0" t="s">
        <v>3337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0" t="s">
        <v>3337</v>
      </c>
      <c r="Z987" t="str">
        <f>IFERROR(VLOOKUP(ROWS($Z$3:Z987),$X$3:$Y$992,2,0),"")</f>
        <v>Činnosti organizací na podporu rekreační a zájmové činnosti</v>
      </c>
    </row>
    <row r="988" spans="13:26">
      <c r="M988" s="289">
        <f>IF(ISNUMBER(SEARCH(ZAKL_DATA!$B$29,N988)),MAX($M$2:M987)+1,0)</f>
        <v>986</v>
      </c>
      <c r="N988" s="290" t="s">
        <v>3339</v>
      </c>
      <c r="O988" s="305" t="s">
        <v>3340</v>
      </c>
      <c r="Q988" s="292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0" t="s">
        <v>3339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0" t="s">
        <v>3339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0" t="s">
        <v>3339</v>
      </c>
      <c r="Z988" t="str">
        <f>IFERROR(VLOOKUP(ROWS($Z$3:Z988),$X$3:$Y$992,2,0),"")</f>
        <v>Činnosti spotřebitelských organizací</v>
      </c>
    </row>
    <row r="989" spans="13:26">
      <c r="M989" s="289">
        <f>IF(ISNUMBER(SEARCH(ZAKL_DATA!$B$29,N989)),MAX($M$2:M988)+1,0)</f>
        <v>987</v>
      </c>
      <c r="N989" s="290" t="s">
        <v>3341</v>
      </c>
      <c r="O989" s="305" t="s">
        <v>3342</v>
      </c>
      <c r="Q989" s="292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0" t="s">
        <v>3341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0" t="s">
        <v>3341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0" t="s">
        <v>3341</v>
      </c>
      <c r="Z989" t="str">
        <f>IFERROR(VLOOKUP(ROWS($Z$3:Z989),$X$3:$Y$992,2,0),"")</f>
        <v>Činnosti environmentálních a ekologických hnutí</v>
      </c>
    </row>
    <row r="990" spans="13:26">
      <c r="M990" s="289">
        <f>IF(ISNUMBER(SEARCH(ZAKL_DATA!$B$29,N990)),MAX($M$2:M989)+1,0)</f>
        <v>988</v>
      </c>
      <c r="N990" s="290" t="s">
        <v>3343</v>
      </c>
      <c r="O990" s="305" t="s">
        <v>3344</v>
      </c>
      <c r="Q990" s="292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0" t="s">
        <v>3343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0" t="s">
        <v>3343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0" t="s">
        <v>3343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89">
        <f>IF(ISNUMBER(SEARCH(ZAKL_DATA!$B$29,N991)),MAX($M$2:M990)+1,0)</f>
        <v>989</v>
      </c>
      <c r="N991" s="290" t="s">
        <v>3345</v>
      </c>
      <c r="O991" s="305" t="s">
        <v>3346</v>
      </c>
      <c r="Q991" s="292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0" t="s">
        <v>3345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0" t="s">
        <v>3345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0" t="s">
        <v>3345</v>
      </c>
      <c r="Z991" t="str">
        <f>IFERROR(VLOOKUP(ROWS($Z$3:Z991),$X$3:$Y$992,2,0),"")</f>
        <v>Činnosti občanských iniciativ, protestních hnutí</v>
      </c>
    </row>
    <row r="992" spans="13:26" ht="13.5" thickBot="1">
      <c r="M992" s="289">
        <f>IF(ISNUMBER(SEARCH(ZAKL_DATA!$B$29,N992)),MAX($M$2:M991)+1,0)</f>
        <v>990</v>
      </c>
      <c r="N992" s="313" t="s">
        <v>3347</v>
      </c>
      <c r="O992" s="314" t="s">
        <v>3348</v>
      </c>
      <c r="Q992" s="315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3" t="s">
        <v>3347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3" t="s">
        <v>3347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3" t="s">
        <v>3347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A20" sqref="A20:J20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895" t="s">
        <v>3390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</row>
    <row r="2" spans="1:11" ht="14.1" customHeight="1" thickBot="1">
      <c r="A2" s="897" t="s">
        <v>3391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</row>
    <row r="3" spans="1:11" ht="15" customHeight="1">
      <c r="A3" s="899" t="s">
        <v>118</v>
      </c>
      <c r="B3" s="900"/>
      <c r="C3" s="900"/>
      <c r="D3" s="900"/>
      <c r="E3" s="900"/>
      <c r="F3" s="900"/>
      <c r="G3" s="900"/>
      <c r="H3" s="900"/>
      <c r="I3" s="900"/>
      <c r="J3" s="901"/>
      <c r="K3" s="202"/>
    </row>
    <row r="4" spans="1:11" ht="15" customHeight="1">
      <c r="A4" s="846" t="s">
        <v>3392</v>
      </c>
      <c r="B4" s="847"/>
      <c r="C4" s="847"/>
      <c r="D4" s="847"/>
      <c r="E4" s="847"/>
      <c r="F4" s="847"/>
      <c r="G4" s="847"/>
      <c r="H4" s="847"/>
      <c r="I4" s="848"/>
      <c r="J4" s="849"/>
      <c r="K4" s="200"/>
    </row>
    <row r="5" spans="1:11" ht="15" customHeight="1">
      <c r="A5" s="846" t="s">
        <v>3494</v>
      </c>
      <c r="B5" s="847"/>
      <c r="C5" s="847"/>
      <c r="D5" s="847"/>
      <c r="E5" s="847"/>
      <c r="F5" s="847"/>
      <c r="G5" s="847"/>
      <c r="H5" s="847"/>
      <c r="I5" s="848"/>
      <c r="J5" s="849"/>
      <c r="K5" s="200"/>
    </row>
    <row r="6" spans="1:11" ht="15" customHeight="1">
      <c r="A6" s="846" t="s">
        <v>3709</v>
      </c>
      <c r="B6" s="847"/>
      <c r="C6" s="847"/>
      <c r="D6" s="847"/>
      <c r="E6" s="847"/>
      <c r="F6" s="847"/>
      <c r="G6" s="847"/>
      <c r="H6" s="847"/>
      <c r="I6" s="848"/>
      <c r="J6" s="849"/>
      <c r="K6" s="200"/>
    </row>
    <row r="7" spans="1:11" ht="15" customHeight="1">
      <c r="A7" s="846" t="s">
        <v>3613</v>
      </c>
      <c r="B7" s="847"/>
      <c r="C7" s="847"/>
      <c r="D7" s="847"/>
      <c r="E7" s="847"/>
      <c r="F7" s="847"/>
      <c r="G7" s="847"/>
      <c r="H7" s="847"/>
      <c r="I7" s="848"/>
      <c r="J7" s="849"/>
      <c r="K7" s="200"/>
    </row>
    <row r="8" spans="1:11" ht="15" customHeight="1">
      <c r="A8" s="846" t="s">
        <v>195</v>
      </c>
      <c r="B8" s="847"/>
      <c r="C8" s="847"/>
      <c r="D8" s="847"/>
      <c r="E8" s="847"/>
      <c r="F8" s="847"/>
      <c r="G8" s="847"/>
      <c r="H8" s="847"/>
      <c r="I8" s="848"/>
      <c r="J8" s="849"/>
      <c r="K8" s="200"/>
    </row>
    <row r="9" spans="1:11" ht="24" customHeight="1">
      <c r="A9" s="846" t="s">
        <v>3393</v>
      </c>
      <c r="B9" s="847"/>
      <c r="C9" s="847"/>
      <c r="D9" s="847"/>
      <c r="E9" s="847"/>
      <c r="F9" s="847"/>
      <c r="G9" s="847"/>
      <c r="H9" s="847"/>
      <c r="I9" s="848"/>
      <c r="J9" s="849"/>
      <c r="K9" s="200"/>
    </row>
    <row r="10" spans="1:11" ht="15" customHeight="1">
      <c r="A10" s="846" t="s">
        <v>65</v>
      </c>
      <c r="B10" s="847"/>
      <c r="C10" s="847"/>
      <c r="D10" s="847"/>
      <c r="E10" s="847"/>
      <c r="F10" s="847"/>
      <c r="G10" s="847"/>
      <c r="H10" s="847"/>
      <c r="I10" s="848"/>
      <c r="J10" s="849"/>
      <c r="K10" s="200"/>
    </row>
    <row r="11" spans="1:11" ht="15" customHeight="1">
      <c r="A11" s="846" t="s">
        <v>3495</v>
      </c>
      <c r="B11" s="847"/>
      <c r="C11" s="847"/>
      <c r="D11" s="847"/>
      <c r="E11" s="847"/>
      <c r="F11" s="847"/>
      <c r="G11" s="847"/>
      <c r="H11" s="847"/>
      <c r="I11" s="848"/>
      <c r="J11" s="849"/>
      <c r="K11" s="200"/>
    </row>
    <row r="12" spans="1:11" ht="15" customHeight="1">
      <c r="A12" s="846" t="s">
        <v>3496</v>
      </c>
      <c r="B12" s="847"/>
      <c r="C12" s="847"/>
      <c r="D12" s="847"/>
      <c r="E12" s="847"/>
      <c r="F12" s="847"/>
      <c r="G12" s="847"/>
      <c r="H12" s="847"/>
      <c r="I12" s="848"/>
      <c r="J12" s="849"/>
      <c r="K12" s="200"/>
    </row>
    <row r="13" spans="1:11" ht="15" customHeight="1">
      <c r="A13" s="846" t="s">
        <v>3497</v>
      </c>
      <c r="B13" s="847"/>
      <c r="C13" s="847"/>
      <c r="D13" s="847"/>
      <c r="E13" s="847"/>
      <c r="F13" s="847"/>
      <c r="G13" s="847"/>
      <c r="H13" s="847"/>
      <c r="I13" s="848"/>
      <c r="J13" s="849"/>
      <c r="K13" s="200"/>
    </row>
    <row r="14" spans="1:11" ht="15" customHeight="1">
      <c r="A14" s="846" t="s">
        <v>3710</v>
      </c>
      <c r="B14" s="915"/>
      <c r="C14" s="915"/>
      <c r="D14" s="915"/>
      <c r="E14" s="915"/>
      <c r="F14" s="915"/>
      <c r="G14" s="915"/>
      <c r="H14" s="915"/>
      <c r="I14" s="916"/>
      <c r="J14" s="917"/>
      <c r="K14" s="200">
        <v>0</v>
      </c>
    </row>
    <row r="15" spans="1:11" ht="15" customHeight="1">
      <c r="A15" s="846" t="s">
        <v>3711</v>
      </c>
      <c r="B15" s="847"/>
      <c r="C15" s="847"/>
      <c r="D15" s="847"/>
      <c r="E15" s="847"/>
      <c r="F15" s="847"/>
      <c r="G15" s="847"/>
      <c r="H15" s="847"/>
      <c r="I15" s="848"/>
      <c r="J15" s="849"/>
      <c r="K15" s="200"/>
    </row>
    <row r="16" spans="1:11" ht="15" customHeight="1">
      <c r="A16" s="846" t="s">
        <v>3670</v>
      </c>
      <c r="B16" s="915"/>
      <c r="C16" s="915"/>
      <c r="D16" s="915"/>
      <c r="E16" s="915"/>
      <c r="F16" s="915"/>
      <c r="G16" s="915"/>
      <c r="H16" s="915"/>
      <c r="I16" s="916"/>
      <c r="J16" s="917"/>
      <c r="K16" s="200"/>
    </row>
    <row r="17" spans="1:11" ht="15" customHeight="1">
      <c r="A17" s="846" t="s">
        <v>3458</v>
      </c>
      <c r="B17" s="847"/>
      <c r="C17" s="847"/>
      <c r="D17" s="847"/>
      <c r="E17" s="847"/>
      <c r="F17" s="847"/>
      <c r="G17" s="847"/>
      <c r="H17" s="847"/>
      <c r="I17" s="848"/>
      <c r="J17" s="849"/>
      <c r="K17" s="200"/>
    </row>
    <row r="18" spans="1:11" ht="15" customHeight="1">
      <c r="A18" s="846" t="s">
        <v>182</v>
      </c>
      <c r="B18" s="847"/>
      <c r="C18" s="847"/>
      <c r="D18" s="847"/>
      <c r="E18" s="847"/>
      <c r="F18" s="847"/>
      <c r="G18" s="847"/>
      <c r="H18" s="847"/>
      <c r="I18" s="848"/>
      <c r="J18" s="849"/>
      <c r="K18" s="200"/>
    </row>
    <row r="19" spans="1:11" ht="15" customHeight="1">
      <c r="A19" s="846" t="s">
        <v>3568</v>
      </c>
      <c r="B19" s="847"/>
      <c r="C19" s="847"/>
      <c r="D19" s="847"/>
      <c r="E19" s="847"/>
      <c r="F19" s="847"/>
      <c r="G19" s="847"/>
      <c r="H19" s="847"/>
      <c r="I19" s="848"/>
      <c r="J19" s="849"/>
      <c r="K19" s="200"/>
    </row>
    <row r="20" spans="1:11" ht="15" customHeight="1">
      <c r="A20" s="846" t="s">
        <v>66</v>
      </c>
      <c r="B20" s="847"/>
      <c r="C20" s="847"/>
      <c r="D20" s="847"/>
      <c r="E20" s="847"/>
      <c r="F20" s="847"/>
      <c r="G20" s="847"/>
      <c r="H20" s="847"/>
      <c r="I20" s="848"/>
      <c r="J20" s="849"/>
      <c r="K20" s="200"/>
    </row>
    <row r="21" spans="1:11" ht="15" customHeight="1">
      <c r="A21" s="846" t="s">
        <v>67</v>
      </c>
      <c r="B21" s="847"/>
      <c r="C21" s="847"/>
      <c r="D21" s="847"/>
      <c r="E21" s="847"/>
      <c r="F21" s="847"/>
      <c r="G21" s="847"/>
      <c r="H21" s="847"/>
      <c r="I21" s="848"/>
      <c r="J21" s="849"/>
      <c r="K21" s="200"/>
    </row>
    <row r="22" spans="1:11" ht="15" customHeight="1">
      <c r="A22" s="846" t="s">
        <v>230</v>
      </c>
      <c r="B22" s="847"/>
      <c r="C22" s="847"/>
      <c r="D22" s="847"/>
      <c r="E22" s="847"/>
      <c r="F22" s="847"/>
      <c r="G22" s="847"/>
      <c r="H22" s="847"/>
      <c r="I22" s="848"/>
      <c r="J22" s="849"/>
      <c r="K22" s="200"/>
    </row>
    <row r="23" spans="1:11" ht="15" customHeight="1">
      <c r="A23" s="846" t="s">
        <v>3586</v>
      </c>
      <c r="B23" s="918"/>
      <c r="C23" s="918"/>
      <c r="D23" s="918"/>
      <c r="E23" s="918"/>
      <c r="F23" s="918"/>
      <c r="G23" s="918"/>
      <c r="H23" s="918"/>
      <c r="I23" s="919"/>
      <c r="J23" s="920"/>
      <c r="K23" s="200"/>
    </row>
    <row r="24" spans="1:11" ht="24" customHeight="1">
      <c r="A24" s="846" t="s">
        <v>3587</v>
      </c>
      <c r="B24" s="918"/>
      <c r="C24" s="918"/>
      <c r="D24" s="918"/>
      <c r="E24" s="918"/>
      <c r="F24" s="918"/>
      <c r="G24" s="918"/>
      <c r="H24" s="918"/>
      <c r="I24" s="919"/>
      <c r="J24" s="920"/>
      <c r="K24" s="200"/>
    </row>
    <row r="25" spans="1:11" ht="15" customHeight="1">
      <c r="A25" s="846" t="s">
        <v>122</v>
      </c>
      <c r="B25" s="847"/>
      <c r="C25" s="847"/>
      <c r="D25" s="847"/>
      <c r="E25" s="847"/>
      <c r="F25" s="847"/>
      <c r="G25" s="847"/>
      <c r="H25" s="847"/>
      <c r="I25" s="848"/>
      <c r="J25" s="849"/>
      <c r="K25" s="200"/>
    </row>
    <row r="26" spans="1:11" ht="15" customHeight="1" thickBot="1">
      <c r="A26" s="868" t="s">
        <v>68</v>
      </c>
      <c r="B26" s="869"/>
      <c r="C26" s="869"/>
      <c r="D26" s="869"/>
      <c r="E26" s="869"/>
      <c r="F26" s="869"/>
      <c r="G26" s="869"/>
      <c r="H26" s="869"/>
      <c r="I26" s="870"/>
      <c r="J26" s="871"/>
      <c r="K26" s="201">
        <f>SUM(K4:K25)</f>
        <v>0</v>
      </c>
    </row>
    <row r="27" spans="1:11" ht="12" customHeight="1" thickBot="1">
      <c r="A27" s="937"/>
      <c r="B27" s="937"/>
      <c r="C27" s="937"/>
      <c r="D27" s="937"/>
      <c r="E27" s="937"/>
      <c r="F27" s="937"/>
      <c r="G27" s="937"/>
      <c r="H27" s="937"/>
      <c r="I27" s="937"/>
      <c r="J27" s="937"/>
      <c r="K27" s="937"/>
    </row>
    <row r="28" spans="1:11" ht="12" customHeight="1" thickBot="1">
      <c r="A28" s="938"/>
      <c r="B28" s="502"/>
      <c r="C28" s="502"/>
      <c r="D28" s="502"/>
      <c r="E28" s="502"/>
      <c r="F28" s="502"/>
      <c r="G28" s="502"/>
      <c r="H28" s="502"/>
      <c r="I28" s="502"/>
      <c r="J28" s="502"/>
      <c r="K28" s="502"/>
    </row>
    <row r="29" spans="1:11" ht="14.1" customHeight="1">
      <c r="A29" s="914" t="s">
        <v>3395</v>
      </c>
      <c r="B29" s="721"/>
      <c r="C29" s="922" t="s">
        <v>3394</v>
      </c>
      <c r="D29" s="922"/>
      <c r="E29" s="852"/>
      <c r="F29" s="852"/>
      <c r="G29" s="852"/>
      <c r="H29" s="852"/>
      <c r="I29" s="852"/>
      <c r="J29" s="852"/>
      <c r="K29" s="853"/>
    </row>
    <row r="30" spans="1:11" ht="18" customHeight="1">
      <c r="A30" s="911"/>
      <c r="B30" s="912"/>
      <c r="C30" s="923"/>
      <c r="D30" s="924"/>
      <c r="E30" s="544"/>
      <c r="F30" s="544"/>
      <c r="G30" s="544"/>
      <c r="H30" s="544"/>
      <c r="I30" s="544"/>
      <c r="J30" s="544"/>
      <c r="K30" s="913"/>
    </row>
    <row r="31" spans="1:11" ht="14.1" customHeight="1">
      <c r="A31" s="905" t="s">
        <v>231</v>
      </c>
      <c r="B31" s="860"/>
      <c r="C31" s="860"/>
      <c r="D31" s="860"/>
      <c r="E31" s="860"/>
      <c r="F31" s="860"/>
      <c r="G31" s="860"/>
      <c r="H31" s="860"/>
      <c r="I31" s="860"/>
      <c r="J31" s="860"/>
      <c r="K31" s="906"/>
    </row>
    <row r="32" spans="1:11" ht="18" customHeight="1">
      <c r="A32" s="907" t="str">
        <f>+CONCATENATE(ZAKL_DATA!D21," ",ZAKL_DATA!D20," ",ZAKL_DATA!D22)</f>
        <v xml:space="preserve">  </v>
      </c>
      <c r="B32" s="908"/>
      <c r="C32" s="908"/>
      <c r="D32" s="908"/>
      <c r="E32" s="908"/>
      <c r="F32" s="908"/>
      <c r="G32" s="908"/>
      <c r="H32" s="908"/>
      <c r="I32" s="908"/>
      <c r="J32" s="908"/>
      <c r="K32" s="909"/>
    </row>
    <row r="33" spans="1:11" ht="14.1" customHeight="1">
      <c r="A33" s="905" t="s">
        <v>33</v>
      </c>
      <c r="B33" s="860"/>
      <c r="C33" s="860"/>
      <c r="D33" s="860"/>
      <c r="E33" s="860"/>
      <c r="F33" s="860"/>
      <c r="G33" s="860"/>
      <c r="H33" s="860"/>
      <c r="I33" s="860"/>
      <c r="J33" s="860"/>
      <c r="K33" s="906"/>
    </row>
    <row r="34" spans="1:11" ht="18" customHeight="1">
      <c r="A34" s="907"/>
      <c r="B34" s="908"/>
      <c r="C34" s="908"/>
      <c r="D34" s="908"/>
      <c r="E34" s="908"/>
      <c r="F34" s="908"/>
      <c r="G34" s="908"/>
      <c r="H34" s="908"/>
      <c r="I34" s="908"/>
      <c r="J34" s="908"/>
      <c r="K34" s="909"/>
    </row>
    <row r="35" spans="1:11" ht="14.1" customHeight="1">
      <c r="A35" s="910" t="s">
        <v>3569</v>
      </c>
      <c r="B35" s="860"/>
      <c r="C35" s="860"/>
      <c r="D35" s="860"/>
      <c r="E35" s="860"/>
      <c r="F35" s="860"/>
      <c r="G35" s="860"/>
      <c r="H35" s="860"/>
      <c r="I35" s="860"/>
      <c r="J35" s="860"/>
      <c r="K35" s="906"/>
    </row>
    <row r="36" spans="1:11" ht="14.1" customHeight="1">
      <c r="A36" s="910" t="s">
        <v>3396</v>
      </c>
      <c r="B36" s="860"/>
      <c r="C36" s="860"/>
      <c r="D36" s="860"/>
      <c r="E36" s="860"/>
      <c r="F36" s="860"/>
      <c r="G36" s="860"/>
      <c r="H36" s="860"/>
      <c r="I36" s="860"/>
      <c r="J36" s="860"/>
      <c r="K36" s="906"/>
    </row>
    <row r="37" spans="1:11" ht="14.1" customHeight="1">
      <c r="A37" s="905" t="s">
        <v>232</v>
      </c>
      <c r="B37" s="860"/>
      <c r="C37" s="860"/>
      <c r="D37" s="860"/>
      <c r="E37" s="860"/>
      <c r="F37" s="860"/>
      <c r="G37" s="860"/>
      <c r="H37" s="860"/>
      <c r="I37" s="860"/>
      <c r="J37" s="860"/>
      <c r="K37" s="906"/>
    </row>
    <row r="38" spans="1:11" ht="18" customHeight="1">
      <c r="A38" s="907" t="str">
        <f>+CONCATENATE(ZAKL_DATA!D21," ",ZAKL_DATA!D20," ",ZAKL_DATA!D22)</f>
        <v xml:space="preserve">  </v>
      </c>
      <c r="B38" s="908"/>
      <c r="C38" s="908"/>
      <c r="D38" s="908"/>
      <c r="E38" s="908"/>
      <c r="F38" s="908"/>
      <c r="G38" s="908"/>
      <c r="H38" s="908"/>
      <c r="I38" s="908"/>
      <c r="J38" s="908"/>
      <c r="K38" s="909"/>
    </row>
    <row r="39" spans="1:11" ht="5.0999999999999996" customHeight="1" thickBot="1">
      <c r="A39" s="902"/>
      <c r="B39" s="903"/>
      <c r="C39" s="903"/>
      <c r="D39" s="903"/>
      <c r="E39" s="903"/>
      <c r="F39" s="903"/>
      <c r="G39" s="903"/>
      <c r="H39" s="903"/>
      <c r="I39" s="903"/>
      <c r="J39" s="903"/>
      <c r="K39" s="904"/>
    </row>
    <row r="40" spans="1:11" ht="5.0999999999999996" customHeight="1" thickBot="1">
      <c r="A40" s="859"/>
      <c r="B40" s="860"/>
      <c r="C40" s="860"/>
      <c r="D40" s="860"/>
      <c r="E40" s="860"/>
      <c r="F40" s="860"/>
      <c r="G40" s="860"/>
      <c r="H40" s="860"/>
      <c r="I40" s="860"/>
      <c r="J40" s="860"/>
      <c r="K40" s="860"/>
    </row>
    <row r="41" spans="1:11" ht="18" customHeight="1">
      <c r="A41" s="861" t="s">
        <v>3708</v>
      </c>
      <c r="B41" s="862"/>
      <c r="C41" s="862"/>
      <c r="D41" s="862"/>
      <c r="E41" s="862"/>
      <c r="F41" s="862"/>
      <c r="G41" s="862"/>
      <c r="H41" s="862"/>
      <c r="I41" s="862"/>
      <c r="J41" s="862"/>
      <c r="K41" s="863"/>
    </row>
    <row r="42" spans="1:11" ht="21.75" customHeight="1">
      <c r="A42" s="857" t="s">
        <v>274</v>
      </c>
      <c r="B42" s="858"/>
      <c r="C42" s="921" t="s">
        <v>3397</v>
      </c>
      <c r="D42" s="921"/>
      <c r="E42" s="921"/>
      <c r="F42" s="921"/>
      <c r="G42" s="854" t="s">
        <v>234</v>
      </c>
      <c r="H42" s="855"/>
      <c r="I42" s="855"/>
      <c r="J42" s="855"/>
      <c r="K42" s="856"/>
    </row>
    <row r="43" spans="1:11" ht="18" customHeight="1">
      <c r="A43" s="866">
        <f ca="1">+TODAY()</f>
        <v>45629</v>
      </c>
      <c r="B43" s="867"/>
      <c r="C43" s="921"/>
      <c r="D43" s="921"/>
      <c r="E43" s="921"/>
      <c r="F43" s="921"/>
      <c r="G43" s="941"/>
      <c r="H43" s="942"/>
      <c r="I43" s="942"/>
      <c r="J43" s="942"/>
      <c r="K43" s="943"/>
    </row>
    <row r="44" spans="1:11" ht="18" customHeight="1">
      <c r="A44" s="864"/>
      <c r="B44" s="865"/>
      <c r="C44" s="921"/>
      <c r="D44" s="921"/>
      <c r="E44" s="921"/>
      <c r="F44" s="921"/>
      <c r="G44" s="944"/>
      <c r="H44" s="945"/>
      <c r="I44" s="945"/>
      <c r="J44" s="945"/>
      <c r="K44" s="946"/>
    </row>
    <row r="45" spans="1:11" ht="5.0999999999999996" customHeight="1" thickBot="1">
      <c r="A45" s="939"/>
      <c r="B45" s="558"/>
      <c r="C45" s="558"/>
      <c r="D45" s="558"/>
      <c r="E45" s="558"/>
      <c r="F45" s="558"/>
      <c r="G45" s="558"/>
      <c r="H45" s="558"/>
      <c r="I45" s="558"/>
      <c r="J45" s="558"/>
      <c r="K45" s="940"/>
    </row>
    <row r="46" spans="1:11" ht="5.0999999999999996" customHeight="1">
      <c r="A46" s="526"/>
      <c r="B46" s="523"/>
      <c r="C46" s="523"/>
      <c r="D46" s="523"/>
      <c r="E46" s="523"/>
      <c r="F46" s="523"/>
      <c r="G46" s="523"/>
      <c r="H46" s="523"/>
      <c r="I46" s="523"/>
      <c r="J46" s="523"/>
      <c r="K46" s="523"/>
    </row>
    <row r="47" spans="1:11" s="19" customFormat="1" ht="14.1" customHeight="1">
      <c r="A47" s="520"/>
      <c r="B47" s="502"/>
      <c r="C47" s="502"/>
      <c r="D47" s="502"/>
      <c r="E47" s="502"/>
      <c r="F47" s="932" t="s">
        <v>199</v>
      </c>
      <c r="G47" s="623"/>
      <c r="H47" s="623"/>
      <c r="I47" s="623"/>
      <c r="J47" s="623"/>
      <c r="K47" s="624"/>
    </row>
    <row r="48" spans="1:11" s="19" customFormat="1" ht="9.9499999999999993" customHeight="1">
      <c r="A48" s="878" t="s">
        <v>117</v>
      </c>
      <c r="B48" s="502"/>
      <c r="C48" s="502"/>
      <c r="D48" s="502"/>
      <c r="E48" s="502"/>
      <c r="F48" s="625"/>
      <c r="G48" s="502"/>
      <c r="H48" s="502"/>
      <c r="I48" s="502"/>
      <c r="J48" s="502"/>
      <c r="K48" s="607"/>
    </row>
    <row r="49" spans="1:11" s="19" customFormat="1" ht="18" customHeight="1">
      <c r="A49" s="876" t="s">
        <v>3398</v>
      </c>
      <c r="B49" s="877"/>
      <c r="C49" s="877"/>
      <c r="D49" s="877"/>
      <c r="E49" s="877"/>
      <c r="F49" s="625"/>
      <c r="G49" s="502"/>
      <c r="H49" s="502"/>
      <c r="I49" s="502"/>
      <c r="J49" s="502"/>
      <c r="K49" s="607"/>
    </row>
    <row r="50" spans="1:11" s="19" customFormat="1" ht="18" customHeight="1">
      <c r="A50" s="850" t="s">
        <v>69</v>
      </c>
      <c r="B50" s="851"/>
      <c r="C50" s="851"/>
      <c r="D50" s="851"/>
      <c r="E50" s="851"/>
      <c r="F50" s="933"/>
      <c r="G50" s="502"/>
      <c r="H50" s="502"/>
      <c r="I50" s="502"/>
      <c r="J50" s="502"/>
      <c r="K50" s="934"/>
    </row>
    <row r="51" spans="1:11" s="19" customFormat="1" ht="13.5" customHeight="1">
      <c r="A51" s="930" t="s">
        <v>3614</v>
      </c>
      <c r="B51" s="931"/>
      <c r="C51" s="931"/>
      <c r="D51" s="931"/>
      <c r="E51" s="931"/>
      <c r="F51" s="626"/>
      <c r="G51" s="627"/>
      <c r="H51" s="627"/>
      <c r="I51" s="627"/>
      <c r="J51" s="627"/>
      <c r="K51" s="628"/>
    </row>
    <row r="52" spans="1:11" s="19" customFormat="1" ht="5.0999999999999996" customHeight="1" thickBot="1">
      <c r="A52" s="538"/>
      <c r="B52" s="935"/>
      <c r="C52" s="935"/>
      <c r="D52" s="935"/>
      <c r="E52" s="935"/>
      <c r="F52" s="935"/>
      <c r="G52" s="935"/>
      <c r="H52" s="935"/>
      <c r="I52" s="935"/>
      <c r="J52" s="935"/>
      <c r="K52" s="935"/>
    </row>
    <row r="53" spans="1:11" s="19" customFormat="1" ht="18" customHeight="1">
      <c r="A53" s="927" t="s">
        <v>3399</v>
      </c>
      <c r="B53" s="928"/>
      <c r="C53" s="928"/>
      <c r="D53" s="928"/>
      <c r="E53" s="928"/>
      <c r="F53" s="928"/>
      <c r="G53" s="928"/>
      <c r="H53" s="928"/>
      <c r="I53" s="928"/>
      <c r="J53" s="928"/>
      <c r="K53" s="929"/>
    </row>
    <row r="54" spans="1:11" s="19" customFormat="1" ht="18" customHeight="1">
      <c r="A54" s="925" t="s">
        <v>3707</v>
      </c>
      <c r="B54" s="881"/>
      <c r="C54" s="881"/>
      <c r="D54" s="881"/>
      <c r="E54" s="881"/>
      <c r="F54" s="881"/>
      <c r="G54" s="881"/>
      <c r="H54" s="881"/>
      <c r="I54" s="881"/>
      <c r="J54" s="881"/>
      <c r="K54" s="926"/>
    </row>
    <row r="55" spans="1:11" s="19" customFormat="1" ht="18" customHeight="1">
      <c r="A55" s="925" t="s">
        <v>146</v>
      </c>
      <c r="B55" s="502"/>
      <c r="C55" s="502"/>
      <c r="D55" s="882">
        <f>MAX(-'DAP3'!D48,-'DAP3'!D35,0)</f>
        <v>0</v>
      </c>
      <c r="E55" s="883"/>
      <c r="F55" s="883"/>
      <c r="G55" s="883"/>
      <c r="H55" s="883"/>
      <c r="I55" s="883"/>
      <c r="J55" s="884"/>
      <c r="K55" s="101" t="s">
        <v>35</v>
      </c>
    </row>
    <row r="56" spans="1:11" s="19" customFormat="1" ht="18" customHeight="1">
      <c r="A56" s="925" t="s">
        <v>3400</v>
      </c>
      <c r="B56" s="502"/>
      <c r="C56" s="936" t="str">
        <f>IF(D55=0," ",+CONCATENATE(ZAKL_DATA!B16," ",ZAKL_DATA!B17,", ",ZAKL_DATA!B18))</f>
        <v xml:space="preserve"> </v>
      </c>
      <c r="D56" s="884"/>
      <c r="E56" s="884"/>
      <c r="F56" s="884"/>
      <c r="G56" s="884"/>
      <c r="H56" s="884"/>
      <c r="I56" s="884"/>
      <c r="J56" s="884"/>
      <c r="K56" s="101"/>
    </row>
    <row r="57" spans="1:11" s="19" customFormat="1" ht="18" customHeight="1">
      <c r="A57" s="100" t="s">
        <v>3578</v>
      </c>
      <c r="B57" s="73"/>
      <c r="C57" s="883" t="str">
        <f>IF(D55=0," ",+CONCATENATE(ZAKL_DATA!B34))</f>
        <v xml:space="preserve"> </v>
      </c>
      <c r="D57" s="884"/>
      <c r="E57" s="884"/>
      <c r="F57" s="252" t="s">
        <v>187</v>
      </c>
      <c r="G57" s="883" t="str">
        <f>IF(D55=0," ",+CONCATENATE(ZAKL_DATA!B32))</f>
        <v xml:space="preserve"> </v>
      </c>
      <c r="H57" s="883"/>
      <c r="I57" s="883"/>
      <c r="J57" s="883"/>
      <c r="K57" s="101"/>
    </row>
    <row r="58" spans="1:11" s="19" customFormat="1" ht="18" customHeight="1">
      <c r="A58" s="100" t="s">
        <v>34</v>
      </c>
      <c r="B58" s="880" t="str">
        <f>IF(D55=0," ",+CONCATENATE(ZAKL_DATA!B33))</f>
        <v xml:space="preserve"> </v>
      </c>
      <c r="C58" s="880"/>
      <c r="D58" s="880"/>
      <c r="E58" s="881" t="s">
        <v>188</v>
      </c>
      <c r="F58" s="881"/>
      <c r="G58" s="881"/>
      <c r="H58" s="885"/>
      <c r="I58" s="885"/>
      <c r="J58" s="885"/>
      <c r="K58" s="101"/>
    </row>
    <row r="59" spans="1:11" s="19" customFormat="1" ht="18" customHeight="1">
      <c r="A59" s="100" t="s">
        <v>176</v>
      </c>
      <c r="B59" s="886" t="str">
        <f>IF(D55=0," ",+CONCATENATE('DAP1'!B28," ",'DAP1'!J28))</f>
        <v xml:space="preserve"> </v>
      </c>
      <c r="C59" s="886"/>
      <c r="D59" s="887" t="s">
        <v>3401</v>
      </c>
      <c r="E59" s="502"/>
      <c r="F59" s="502"/>
      <c r="G59" s="502"/>
      <c r="H59" s="879" t="s">
        <v>172</v>
      </c>
      <c r="I59" s="879"/>
      <c r="J59" s="879"/>
      <c r="K59" s="101"/>
    </row>
    <row r="60" spans="1:11" s="19" customFormat="1" ht="36" customHeight="1" thickBot="1">
      <c r="A60" s="888" t="str">
        <f>CONCATENATE(+'DAP1'!B31,", dne ")</f>
        <v xml:space="preserve">0, dne </v>
      </c>
      <c r="B60" s="889"/>
      <c r="C60" s="417">
        <f ca="1">+TODAY()</f>
        <v>45629</v>
      </c>
      <c r="D60" s="890" t="s">
        <v>3579</v>
      </c>
      <c r="E60" s="891"/>
      <c r="F60" s="892"/>
      <c r="G60" s="893"/>
      <c r="H60" s="893"/>
      <c r="I60" s="893"/>
      <c r="J60" s="893"/>
      <c r="K60" s="894"/>
    </row>
    <row r="61" spans="1:11">
      <c r="A61" s="873" t="str">
        <f>+'DAP1'!A46:L46</f>
        <v>Formulář zpracovala ASPEKT HM, daňová, účetní a auditorská kancelář, www.danovapriznani.cz, business.center.cz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5"/>
    </row>
    <row r="62" spans="1:11">
      <c r="A62" s="705">
        <v>4</v>
      </c>
      <c r="B62" s="705"/>
      <c r="C62" s="705"/>
      <c r="D62" s="705"/>
      <c r="E62" s="705"/>
      <c r="F62" s="705"/>
      <c r="G62" s="705"/>
      <c r="H62" s="705"/>
      <c r="I62" s="705"/>
      <c r="J62" s="705"/>
      <c r="K62" s="872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6M6ZXOUIiSjf3kyPnfKMvyTZfL+wji/6jBekGUeL80ZKCViIbjAIeMCVGZfkpavyziT6AMle81/7kO3tE9lUZw==" saltValue="GO1KE+pnQ/JM4ImXFolxkA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workbookViewId="0">
      <selection activeCell="C30" sqref="C30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947" t="s">
        <v>3432</v>
      </c>
      <c r="B1" s="947"/>
      <c r="C1" s="947"/>
    </row>
    <row r="2" spans="1:5" ht="18">
      <c r="A2" s="952" t="s">
        <v>196</v>
      </c>
      <c r="B2" s="952"/>
      <c r="C2" s="952"/>
      <c r="D2" s="44"/>
      <c r="E2" s="44"/>
    </row>
    <row r="3" spans="1:5" ht="15.75">
      <c r="A3" s="953" t="s">
        <v>3725</v>
      </c>
      <c r="B3" s="953"/>
      <c r="C3" s="953"/>
      <c r="D3" s="44"/>
      <c r="E3" s="44"/>
    </row>
    <row r="4" spans="1:5">
      <c r="A4" s="954"/>
      <c r="B4" s="954"/>
      <c r="C4" s="954"/>
      <c r="D4" s="44"/>
      <c r="E4" s="44"/>
    </row>
    <row r="5" spans="1:5" ht="16.5" thickBot="1">
      <c r="A5" s="45" t="s">
        <v>8</v>
      </c>
      <c r="B5" s="949" t="str">
        <f>+CONCATENATE(ZAKL_DATA!B5," ",ZAKL_DATA!B4," ",ZAKL_DATA!B7)</f>
        <v xml:space="preserve">  </v>
      </c>
      <c r="C5" s="950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39">
        <v>0</v>
      </c>
      <c r="C7" s="140">
        <v>0</v>
      </c>
      <c r="D7" s="44"/>
      <c r="E7" s="44"/>
    </row>
    <row r="8" spans="1:5" ht="15.95" customHeight="1">
      <c r="A8" s="50" t="s">
        <v>89</v>
      </c>
      <c r="B8" s="141">
        <v>0</v>
      </c>
      <c r="C8" s="142">
        <v>0</v>
      </c>
      <c r="D8" s="44"/>
      <c r="E8" s="44"/>
    </row>
    <row r="9" spans="1:5" ht="15.95" customHeight="1">
      <c r="A9" s="50" t="s">
        <v>244</v>
      </c>
      <c r="B9" s="141">
        <v>0</v>
      </c>
      <c r="C9" s="142">
        <v>0</v>
      </c>
      <c r="D9" s="44"/>
      <c r="E9" s="44"/>
    </row>
    <row r="10" spans="1:5" ht="15.95" customHeight="1">
      <c r="A10" s="50" t="s">
        <v>245</v>
      </c>
      <c r="B10" s="141">
        <v>0</v>
      </c>
      <c r="C10" s="142">
        <v>0</v>
      </c>
      <c r="D10" s="44"/>
      <c r="E10" s="44"/>
    </row>
    <row r="11" spans="1:5" ht="15.95" customHeight="1">
      <c r="A11" s="50" t="s">
        <v>90</v>
      </c>
      <c r="B11" s="141">
        <v>0</v>
      </c>
      <c r="C11" s="142">
        <v>0</v>
      </c>
      <c r="D11" s="44"/>
      <c r="E11" s="44"/>
    </row>
    <row r="12" spans="1:5" ht="15.95" customHeight="1">
      <c r="A12" s="50" t="s">
        <v>126</v>
      </c>
      <c r="B12" s="141">
        <v>0</v>
      </c>
      <c r="C12" s="142">
        <v>0</v>
      </c>
      <c r="D12" s="44"/>
      <c r="E12" s="44"/>
    </row>
    <row r="13" spans="1:5" ht="15.95" customHeight="1">
      <c r="A13" s="50" t="s">
        <v>3433</v>
      </c>
      <c r="B13" s="141">
        <v>0</v>
      </c>
      <c r="C13" s="142">
        <v>0</v>
      </c>
      <c r="D13" s="44"/>
      <c r="E13" s="44"/>
    </row>
    <row r="14" spans="1:5" ht="15.95" customHeight="1">
      <c r="A14" s="50" t="s">
        <v>3434</v>
      </c>
      <c r="B14" s="141">
        <v>0</v>
      </c>
      <c r="C14" s="142">
        <v>0</v>
      </c>
      <c r="D14" s="44"/>
      <c r="E14" s="44"/>
    </row>
    <row r="15" spans="1:5" ht="15.95" customHeight="1">
      <c r="A15" s="50" t="s">
        <v>13</v>
      </c>
      <c r="B15" s="141">
        <v>0</v>
      </c>
      <c r="C15" s="142">
        <v>0</v>
      </c>
      <c r="D15" s="44"/>
      <c r="E15" s="44"/>
    </row>
    <row r="16" spans="1:5" ht="15.95" customHeight="1">
      <c r="A16" s="51" t="s">
        <v>14</v>
      </c>
      <c r="B16" s="143">
        <f>SUM(B7:B15)</f>
        <v>0</v>
      </c>
      <c r="C16" s="144">
        <f>SUM(C7:C15)</f>
        <v>0</v>
      </c>
      <c r="D16" s="44"/>
      <c r="E16" s="44"/>
    </row>
    <row r="17" spans="1:5" ht="15.95" customHeight="1" thickBot="1">
      <c r="A17" s="52" t="s">
        <v>15</v>
      </c>
      <c r="B17" s="145">
        <f>SUM(B7:B16)</f>
        <v>0</v>
      </c>
      <c r="C17" s="146">
        <f>SUM(C7:C16)</f>
        <v>0</v>
      </c>
      <c r="D17" s="44"/>
      <c r="E17" s="44"/>
    </row>
    <row r="18" spans="1:5" ht="15.95" customHeight="1" thickBot="1">
      <c r="A18" s="53" t="s">
        <v>16</v>
      </c>
      <c r="B18" s="147"/>
      <c r="C18" s="148"/>
      <c r="D18" s="44"/>
      <c r="E18" s="44"/>
    </row>
    <row r="19" spans="1:5" ht="15.95" customHeight="1">
      <c r="A19" s="49" t="s">
        <v>3435</v>
      </c>
      <c r="B19" s="139">
        <v>0</v>
      </c>
      <c r="C19" s="140">
        <v>0</v>
      </c>
      <c r="D19" s="44"/>
      <c r="E19" s="44"/>
    </row>
    <row r="20" spans="1:5" ht="15.95" customHeight="1">
      <c r="A20" s="50" t="s">
        <v>3436</v>
      </c>
      <c r="B20" s="141">
        <v>0</v>
      </c>
      <c r="C20" s="142">
        <v>0</v>
      </c>
      <c r="D20" s="44"/>
      <c r="E20" s="44"/>
    </row>
    <row r="21" spans="1:5" ht="15.95" customHeight="1">
      <c r="A21" s="50" t="s">
        <v>17</v>
      </c>
      <c r="B21" s="141">
        <v>0</v>
      </c>
      <c r="C21" s="142">
        <v>0</v>
      </c>
      <c r="D21" s="44"/>
      <c r="E21" s="44"/>
    </row>
    <row r="22" spans="1:5" ht="15.95" customHeight="1">
      <c r="A22" s="50" t="s">
        <v>246</v>
      </c>
      <c r="B22" s="141">
        <v>0</v>
      </c>
      <c r="C22" s="142">
        <v>0</v>
      </c>
      <c r="D22" s="44"/>
      <c r="E22" s="44"/>
    </row>
    <row r="23" spans="1:5" ht="15.95" customHeight="1">
      <c r="A23" s="51" t="s">
        <v>18</v>
      </c>
      <c r="B23" s="143">
        <f>SUM(B19:B22)</f>
        <v>0</v>
      </c>
      <c r="C23" s="144">
        <f>SUM(C19:C22)</f>
        <v>0</v>
      </c>
      <c r="D23" s="44"/>
      <c r="E23" s="44"/>
    </row>
    <row r="24" spans="1:5" ht="15.95" customHeight="1">
      <c r="A24" s="51" t="s">
        <v>3437</v>
      </c>
      <c r="B24" s="143">
        <f>B16-B23</f>
        <v>0</v>
      </c>
      <c r="C24" s="144">
        <f>C16-C23</f>
        <v>0</v>
      </c>
      <c r="D24" s="44"/>
      <c r="E24" s="44"/>
    </row>
    <row r="25" spans="1:5" ht="15.95" customHeight="1" thickBot="1">
      <c r="A25" s="52" t="s">
        <v>15</v>
      </c>
      <c r="B25" s="145">
        <f>SUM(B19:B24)</f>
        <v>0</v>
      </c>
      <c r="C25" s="146">
        <f>SUM(C19:C24)</f>
        <v>0</v>
      </c>
      <c r="D25" s="44"/>
      <c r="E25" s="44"/>
    </row>
    <row r="26" spans="1:5" ht="15.95" customHeight="1">
      <c r="A26" s="955"/>
      <c r="B26" s="542"/>
      <c r="C26" s="542"/>
      <c r="D26" s="44"/>
      <c r="E26" s="44"/>
    </row>
    <row r="27" spans="1:5" ht="15.95" customHeight="1" thickBot="1">
      <c r="A27" s="951" t="s">
        <v>19</v>
      </c>
      <c r="B27" s="558"/>
      <c r="C27" s="558"/>
      <c r="D27" s="44"/>
      <c r="E27" s="44"/>
    </row>
    <row r="28" spans="1:5" ht="15.95" customHeight="1" thickBot="1">
      <c r="A28" s="46" t="s">
        <v>129</v>
      </c>
      <c r="B28" s="54"/>
      <c r="C28" s="55" t="s">
        <v>11</v>
      </c>
    </row>
    <row r="29" spans="1:5" ht="15.95" customHeight="1">
      <c r="A29" s="49" t="s">
        <v>20</v>
      </c>
      <c r="B29" s="56"/>
      <c r="C29" s="149">
        <v>0</v>
      </c>
    </row>
    <row r="30" spans="1:5" ht="15.95" customHeight="1">
      <c r="A30" s="50" t="s">
        <v>21</v>
      </c>
      <c r="B30" s="57"/>
      <c r="C30" s="150">
        <v>0</v>
      </c>
    </row>
    <row r="31" spans="1:5" ht="15.95" customHeight="1">
      <c r="A31" s="50" t="s">
        <v>22</v>
      </c>
      <c r="B31" s="57"/>
      <c r="C31" s="150">
        <v>0</v>
      </c>
    </row>
    <row r="32" spans="1:5" ht="15.95" customHeight="1">
      <c r="A32" s="60" t="s">
        <v>3438</v>
      </c>
      <c r="B32" s="57"/>
      <c r="C32" s="150">
        <v>0</v>
      </c>
    </row>
    <row r="33" spans="1:3" ht="15.95" customHeight="1">
      <c r="A33" s="50" t="s">
        <v>23</v>
      </c>
      <c r="B33" s="57"/>
      <c r="C33" s="150">
        <v>0</v>
      </c>
    </row>
    <row r="34" spans="1:3" ht="15.95" customHeight="1">
      <c r="A34" s="62" t="s">
        <v>24</v>
      </c>
      <c r="B34" s="61"/>
      <c r="C34" s="151">
        <f>+C29+C30+C31+C33</f>
        <v>0</v>
      </c>
    </row>
    <row r="35" spans="1:3" ht="15.95" customHeight="1" thickBot="1">
      <c r="A35" s="52" t="s">
        <v>15</v>
      </c>
      <c r="B35" s="58"/>
      <c r="C35" s="152">
        <f>SUM(C29:C33)</f>
        <v>0</v>
      </c>
    </row>
    <row r="36" spans="1:3" ht="15.95" customHeight="1" thickBot="1">
      <c r="A36" s="53" t="s">
        <v>130</v>
      </c>
      <c r="B36" s="59"/>
      <c r="C36" s="153"/>
    </row>
    <row r="37" spans="1:3" ht="15.95" customHeight="1">
      <c r="A37" s="49" t="s">
        <v>25</v>
      </c>
      <c r="B37" s="56"/>
      <c r="C37" s="149">
        <v>0</v>
      </c>
    </row>
    <row r="38" spans="1:3" ht="15.95" customHeight="1">
      <c r="A38" s="50" t="s">
        <v>26</v>
      </c>
      <c r="B38" s="57"/>
      <c r="C38" s="150">
        <v>0</v>
      </c>
    </row>
    <row r="39" spans="1:3" ht="15.95" customHeight="1">
      <c r="A39" s="50" t="s">
        <v>27</v>
      </c>
      <c r="B39" s="57"/>
      <c r="C39" s="150">
        <v>0</v>
      </c>
    </row>
    <row r="40" spans="1:3" ht="15.95" customHeight="1">
      <c r="A40" s="50" t="s">
        <v>261</v>
      </c>
      <c r="B40" s="57"/>
      <c r="C40" s="150">
        <v>0</v>
      </c>
    </row>
    <row r="41" spans="1:3" ht="15.95" customHeight="1">
      <c r="A41" s="50" t="s">
        <v>28</v>
      </c>
      <c r="B41" s="57"/>
      <c r="C41" s="150">
        <v>0</v>
      </c>
    </row>
    <row r="42" spans="1:3" ht="15.95" customHeight="1">
      <c r="A42" s="50" t="s">
        <v>29</v>
      </c>
      <c r="B42" s="57"/>
      <c r="C42" s="150">
        <v>0</v>
      </c>
    </row>
    <row r="43" spans="1:3" ht="15.95" customHeight="1">
      <c r="A43" s="60" t="s">
        <v>3439</v>
      </c>
      <c r="B43" s="57"/>
      <c r="C43" s="150">
        <v>0</v>
      </c>
    </row>
    <row r="44" spans="1:3" ht="15.95" customHeight="1">
      <c r="A44" s="60" t="s">
        <v>3440</v>
      </c>
      <c r="B44" s="57"/>
      <c r="C44" s="150">
        <v>0</v>
      </c>
    </row>
    <row r="45" spans="1:3" ht="15.95" customHeight="1">
      <c r="A45" s="60" t="s">
        <v>3441</v>
      </c>
      <c r="B45" s="57"/>
      <c r="C45" s="150">
        <v>0</v>
      </c>
    </row>
    <row r="46" spans="1:3" ht="15.95" customHeight="1">
      <c r="A46" s="62" t="s">
        <v>30</v>
      </c>
      <c r="B46" s="61"/>
      <c r="C46" s="151">
        <f>+SUM(C37:C42)</f>
        <v>0</v>
      </c>
    </row>
    <row r="47" spans="1:3" ht="15.95" customHeight="1">
      <c r="A47" s="62" t="s">
        <v>100</v>
      </c>
      <c r="B47" s="61"/>
      <c r="C47" s="151">
        <f>+C34-C46</f>
        <v>0</v>
      </c>
    </row>
    <row r="48" spans="1:3" ht="15.95" customHeight="1" thickBot="1">
      <c r="A48" s="52" t="s">
        <v>15</v>
      </c>
      <c r="B48" s="58"/>
      <c r="C48" s="152">
        <f>SUM(C37:C45)</f>
        <v>0</v>
      </c>
    </row>
    <row r="49" spans="1:3">
      <c r="A49" s="948" t="str">
        <f>+'DAP1'!A46:L46</f>
        <v>Formulář zpracovala ASPEKT HM, daňová, účetní a auditorská kancelář, www.danovapriznani.cz, business.center.cz</v>
      </c>
      <c r="B49" s="741"/>
      <c r="C49" s="741"/>
    </row>
  </sheetData>
  <sheetProtection algorithmName="SHA-512" hashValue="Sd93Culg464NbUep8W7TrjaAq5jhHy38a03mRFTPTG+9NqnAoAHgeMoCAB9m8oA5H7PjF+mS1t0CW8IEddVXZQ==" saltValue="VIzkAUXSfreWXtu14o7sEw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9" sqref="F19:H19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037" t="s">
        <v>238</v>
      </c>
      <c r="B1" s="1038"/>
      <c r="C1" s="1038"/>
      <c r="D1" s="1038"/>
      <c r="E1" s="1038"/>
      <c r="F1" s="1038"/>
      <c r="G1" s="1039"/>
      <c r="H1" s="245" t="s">
        <v>36</v>
      </c>
      <c r="I1" s="1023" t="str">
        <f>'DAP1'!A9</f>
        <v/>
      </c>
      <c r="J1" s="1024"/>
      <c r="K1" s="641"/>
    </row>
    <row r="2" spans="1:50" ht="26.25" customHeight="1">
      <c r="A2" s="1036" t="s">
        <v>3712</v>
      </c>
      <c r="B2" s="1036"/>
      <c r="C2" s="1036"/>
      <c r="D2" s="1036"/>
      <c r="E2" s="1036"/>
      <c r="F2" s="1036"/>
      <c r="G2" s="502"/>
      <c r="H2" s="1042"/>
      <c r="I2" s="1042"/>
      <c r="J2" s="1042"/>
      <c r="K2" s="1042"/>
      <c r="M2" s="6"/>
    </row>
    <row r="3" spans="1:50" ht="36" customHeight="1">
      <c r="A3" s="1027" t="s">
        <v>143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</row>
    <row r="4" spans="1:50" ht="15.95" customHeight="1">
      <c r="A4" s="1040" t="s">
        <v>3402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</row>
    <row r="5" spans="1:50" ht="15.95" customHeight="1">
      <c r="A5" s="938" t="s">
        <v>3403</v>
      </c>
      <c r="B5" s="1041"/>
      <c r="C5" s="1041"/>
      <c r="D5" s="1041"/>
      <c r="E5" s="1041"/>
      <c r="F5" s="1041"/>
      <c r="G5" s="1041"/>
      <c r="H5" s="1041"/>
      <c r="I5" s="1041"/>
      <c r="J5" s="1041"/>
      <c r="K5" s="1041"/>
    </row>
    <row r="6" spans="1:50" ht="9.9499999999999993" customHeight="1">
      <c r="A6" s="1045" t="s">
        <v>215</v>
      </c>
      <c r="B6" s="1046"/>
      <c r="C6" s="1046"/>
      <c r="D6" s="1046"/>
      <c r="E6" s="1046"/>
      <c r="F6" s="1046"/>
      <c r="G6" s="1046"/>
      <c r="H6" s="1046"/>
      <c r="I6" s="1046"/>
      <c r="J6" s="1046"/>
      <c r="K6" s="1046"/>
    </row>
    <row r="7" spans="1:50" ht="8.1" customHeight="1" thickBot="1">
      <c r="A7" s="1045"/>
      <c r="B7" s="1046"/>
      <c r="C7" s="1046"/>
      <c r="D7" s="1046"/>
      <c r="E7" s="1046"/>
      <c r="F7" s="1046"/>
      <c r="G7" s="1046"/>
      <c r="H7" s="1046"/>
      <c r="I7" s="1046"/>
      <c r="J7" s="1046"/>
      <c r="K7" s="1046"/>
    </row>
    <row r="8" spans="1:50" s="104" customFormat="1" ht="24" customHeight="1" thickBot="1">
      <c r="A8" s="1025" t="s">
        <v>177</v>
      </c>
      <c r="B8" s="1026"/>
      <c r="C8" s="90" t="s">
        <v>210</v>
      </c>
      <c r="D8" s="102"/>
      <c r="E8" s="1025" t="s">
        <v>197</v>
      </c>
      <c r="F8" s="1029"/>
      <c r="G8" s="90"/>
      <c r="H8" s="102"/>
      <c r="I8" s="1025" t="s">
        <v>240</v>
      </c>
      <c r="J8" s="638"/>
      <c r="K8" s="9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</row>
    <row r="9" spans="1:50" s="104" customFormat="1" ht="7.5" customHeight="1" thickBot="1">
      <c r="A9" s="608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</row>
    <row r="10" spans="1:50" ht="12" customHeight="1">
      <c r="A10" s="1030"/>
      <c r="B10" s="1031"/>
      <c r="C10" s="1031"/>
      <c r="D10" s="1031"/>
      <c r="E10" s="1032"/>
      <c r="F10" s="1033" t="s">
        <v>132</v>
      </c>
      <c r="G10" s="1034"/>
      <c r="H10" s="1035"/>
      <c r="I10" s="1043" t="s">
        <v>140</v>
      </c>
      <c r="J10" s="1044"/>
      <c r="K10" s="711"/>
    </row>
    <row r="11" spans="1:50" ht="18" customHeight="1">
      <c r="A11" s="17">
        <v>101</v>
      </c>
      <c r="B11" s="718" t="s">
        <v>216</v>
      </c>
      <c r="C11" s="718"/>
      <c r="D11" s="718"/>
      <c r="E11" s="811"/>
      <c r="F11" s="673">
        <f>+IF(OR(EXACT(C8,"X"),EXACT(C8,"x")),CEILING(ZAV!C34,1)-ZAV!C32,+IF(OR(EXACT(K8,"X"),EXACT(K8,"x")),+F35,0))</f>
        <v>0</v>
      </c>
      <c r="G11" s="1010"/>
      <c r="H11" s="1011"/>
      <c r="I11" s="960"/>
      <c r="J11" s="961"/>
      <c r="K11" s="962"/>
    </row>
    <row r="12" spans="1:50" ht="18" customHeight="1">
      <c r="A12" s="17">
        <v>102</v>
      </c>
      <c r="B12" s="718" t="s">
        <v>217</v>
      </c>
      <c r="C12" s="718"/>
      <c r="D12" s="718"/>
      <c r="E12" s="811"/>
      <c r="F12" s="673">
        <f>+IF(OR(EXACT(C8,"X"),EXACT(C8,"x")),CEILING(ZAV!C46,1),+IF(OR(EXACT(K8,"X"),EXACT(K8,"x")),+H35,0))</f>
        <v>0</v>
      </c>
      <c r="G12" s="1010"/>
      <c r="H12" s="1011"/>
      <c r="I12" s="960"/>
      <c r="J12" s="961"/>
      <c r="K12" s="962"/>
    </row>
    <row r="13" spans="1:50" ht="18" customHeight="1">
      <c r="A13" s="17">
        <v>103</v>
      </c>
      <c r="B13" s="718" t="s">
        <v>145</v>
      </c>
      <c r="C13" s="718"/>
      <c r="D13" s="718"/>
      <c r="E13" s="811"/>
      <c r="F13" s="963"/>
      <c r="G13" s="964"/>
      <c r="H13" s="965"/>
      <c r="I13" s="960"/>
      <c r="J13" s="961"/>
      <c r="K13" s="962"/>
    </row>
    <row r="14" spans="1:50" ht="24" customHeight="1">
      <c r="A14" s="74">
        <v>104</v>
      </c>
      <c r="B14" s="662" t="s">
        <v>3404</v>
      </c>
      <c r="C14" s="663"/>
      <c r="D14" s="663"/>
      <c r="E14" s="664"/>
      <c r="F14" s="673">
        <f>+F11-F12-F13</f>
        <v>0</v>
      </c>
      <c r="G14" s="1010"/>
      <c r="H14" s="1011"/>
      <c r="I14" s="960"/>
      <c r="J14" s="961"/>
      <c r="K14" s="962"/>
    </row>
    <row r="15" spans="1:50" ht="45" customHeight="1">
      <c r="A15" s="14">
        <v>105</v>
      </c>
      <c r="B15" s="662" t="s">
        <v>38</v>
      </c>
      <c r="C15" s="662"/>
      <c r="D15" s="662"/>
      <c r="E15" s="812"/>
      <c r="F15" s="670">
        <f>+SUM('1Př2'!F20:G23)</f>
        <v>0</v>
      </c>
      <c r="G15" s="1021"/>
      <c r="H15" s="1022"/>
      <c r="I15" s="960"/>
      <c r="J15" s="961"/>
      <c r="K15" s="962"/>
    </row>
    <row r="16" spans="1:50" ht="45" customHeight="1">
      <c r="A16" s="76">
        <v>106</v>
      </c>
      <c r="B16" s="662" t="s">
        <v>37</v>
      </c>
      <c r="C16" s="662"/>
      <c r="D16" s="662"/>
      <c r="E16" s="812"/>
      <c r="F16" s="670">
        <f>+SUM('1Př2'!F26:G29)</f>
        <v>0</v>
      </c>
      <c r="G16" s="1021"/>
      <c r="H16" s="1022"/>
      <c r="I16" s="960"/>
      <c r="J16" s="961"/>
      <c r="K16" s="962"/>
    </row>
    <row r="17" spans="1:50" ht="48" customHeight="1">
      <c r="A17" s="14">
        <v>107</v>
      </c>
      <c r="B17" s="662" t="s">
        <v>3408</v>
      </c>
      <c r="C17" s="663"/>
      <c r="D17" s="663"/>
      <c r="E17" s="664"/>
      <c r="F17" s="673">
        <f>FLOOR(+F11*('1Př2'!G39+'1Př2'!G40),1)</f>
        <v>0</v>
      </c>
      <c r="G17" s="1010"/>
      <c r="H17" s="1011"/>
      <c r="I17" s="960"/>
      <c r="J17" s="961"/>
      <c r="K17" s="962"/>
    </row>
    <row r="18" spans="1:50" s="1" customFormat="1" ht="48" customHeight="1">
      <c r="A18" s="14">
        <v>108</v>
      </c>
      <c r="B18" s="759" t="s">
        <v>3407</v>
      </c>
      <c r="C18" s="1008"/>
      <c r="D18" s="1008"/>
      <c r="E18" s="1009"/>
      <c r="F18" s="673">
        <f>FLOOR(+F12*('1Př2'!G39+'1Př2'!G40),1)</f>
        <v>0</v>
      </c>
      <c r="G18" s="1010"/>
      <c r="H18" s="1011"/>
      <c r="I18" s="960"/>
      <c r="J18" s="961"/>
      <c r="K18" s="96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759" t="s">
        <v>3405</v>
      </c>
      <c r="C19" s="1008"/>
      <c r="D19" s="1008"/>
      <c r="E19" s="1009"/>
      <c r="F19" s="673">
        <v>0</v>
      </c>
      <c r="G19" s="1010"/>
      <c r="H19" s="1011"/>
      <c r="I19" s="960"/>
      <c r="J19" s="961"/>
      <c r="K19" s="962"/>
      <c r="L19" s="6"/>
      <c r="M19" s="135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759" t="s">
        <v>3406</v>
      </c>
      <c r="C20" s="1008"/>
      <c r="D20" s="1008"/>
      <c r="E20" s="1009"/>
      <c r="F20" s="673">
        <v>0</v>
      </c>
      <c r="G20" s="1010"/>
      <c r="H20" s="1011"/>
      <c r="I20" s="960"/>
      <c r="J20" s="961"/>
      <c r="K20" s="96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718" t="s">
        <v>145</v>
      </c>
      <c r="C21" s="718"/>
      <c r="D21" s="718"/>
      <c r="E21" s="811"/>
      <c r="F21" s="963"/>
      <c r="G21" s="964"/>
      <c r="H21" s="965"/>
      <c r="I21" s="960"/>
      <c r="J21" s="961"/>
      <c r="K21" s="96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759" t="s">
        <v>144</v>
      </c>
      <c r="C22" s="1008"/>
      <c r="D22" s="1008"/>
      <c r="E22" s="1009"/>
      <c r="F22" s="673">
        <v>0</v>
      </c>
      <c r="G22" s="1010"/>
      <c r="H22" s="1011"/>
      <c r="I22" s="960"/>
      <c r="J22" s="961"/>
      <c r="K22" s="96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761" t="s">
        <v>3615</v>
      </c>
      <c r="C23" s="956"/>
      <c r="D23" s="956"/>
      <c r="E23" s="957"/>
      <c r="F23" s="699">
        <f>+F14+F15-F16-F17+F18+F19-F20-F21+F22</f>
        <v>0</v>
      </c>
      <c r="G23" s="958"/>
      <c r="H23" s="959"/>
      <c r="I23" s="1014"/>
      <c r="J23" s="1015"/>
      <c r="K23" s="101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018" t="s">
        <v>218</v>
      </c>
      <c r="B24" s="1019"/>
      <c r="C24" s="1019"/>
      <c r="D24" s="1019"/>
      <c r="E24" s="1019"/>
      <c r="F24" s="1019"/>
      <c r="G24" s="1019"/>
      <c r="H24" s="1019"/>
      <c r="I24" s="1019"/>
      <c r="J24" s="1019"/>
      <c r="K24" s="10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996" t="s">
        <v>241</v>
      </c>
      <c r="B25" s="1020"/>
      <c r="C25" s="1020"/>
      <c r="D25" s="1020"/>
      <c r="E25" s="1020"/>
      <c r="F25" s="1020"/>
      <c r="G25" s="1020"/>
      <c r="H25" s="1020"/>
      <c r="I25" s="1020"/>
      <c r="J25" s="1020"/>
      <c r="K25" s="102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012" t="s">
        <v>198</v>
      </c>
      <c r="B26" s="912"/>
      <c r="C26" s="912"/>
      <c r="D26" s="912"/>
      <c r="E26" s="1012" t="s">
        <v>136</v>
      </c>
      <c r="F26" s="1013"/>
      <c r="G26" s="912"/>
      <c r="H26" s="912"/>
      <c r="I26" s="997" t="s">
        <v>70</v>
      </c>
      <c r="J26" s="997"/>
      <c r="K26" s="99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003">
        <v>0</v>
      </c>
      <c r="B27" s="1017"/>
      <c r="C27" s="1005"/>
      <c r="D27" s="134"/>
      <c r="E27" s="1003">
        <f>+CEILING(ZAV!C43,1)</f>
        <v>0</v>
      </c>
      <c r="F27" s="1004"/>
      <c r="G27" s="1005"/>
      <c r="H27" s="134"/>
      <c r="I27" s="1003">
        <v>0</v>
      </c>
      <c r="J27" s="1006"/>
      <c r="K27" s="1007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996" t="s">
        <v>219</v>
      </c>
      <c r="B28" s="1002"/>
      <c r="C28" s="1002"/>
      <c r="D28" s="1002"/>
      <c r="E28" s="994" t="s">
        <v>220</v>
      </c>
      <c r="F28" s="996"/>
      <c r="G28" s="528"/>
      <c r="H28" s="528"/>
      <c r="I28" s="528"/>
      <c r="J28" s="528"/>
      <c r="K28" s="52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997" t="s">
        <v>3409</v>
      </c>
      <c r="B29" s="998"/>
      <c r="C29" s="998"/>
      <c r="D29" s="998"/>
      <c r="E29" s="995"/>
      <c r="F29" s="988" t="s">
        <v>129</v>
      </c>
      <c r="G29" s="988"/>
      <c r="H29" s="988" t="s">
        <v>130</v>
      </c>
      <c r="I29" s="988"/>
      <c r="J29" s="988" t="s">
        <v>147</v>
      </c>
      <c r="K29" s="98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999" t="str">
        <f>CONCATENATE(+ZAKL_DATA!B29)</f>
        <v/>
      </c>
      <c r="B30" s="1000"/>
      <c r="C30" s="1000"/>
      <c r="D30" s="1001"/>
      <c r="E30" s="348">
        <v>0</v>
      </c>
      <c r="F30" s="986">
        <f>+IF(OR(EXACT(K8,"X"),EXACT(K8,"x")),F11,IF(OR(EXACT(C8,"X"),EXACT(C8,"x")),CEILING(ZAV!C34,1)-ZAV!C32,0))</f>
        <v>0</v>
      </c>
      <c r="G30" s="987"/>
      <c r="H30" s="986">
        <f>+IF(OR(EXACT(C8,"X"),EXACT(C8,"x")),CEILING(ZAV!C46,1),IF(OR(EXACT(K8,"X"),EXACT(K8,"x")),MIN(2000000*E30,CEILING(+E30*F30,1)),0))</f>
        <v>0</v>
      </c>
      <c r="I30" s="987"/>
      <c r="J30" s="984"/>
      <c r="K30" s="98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527" t="s">
        <v>221</v>
      </c>
      <c r="B31" s="989"/>
      <c r="C31" s="989"/>
      <c r="D31" s="989"/>
      <c r="E31" s="989"/>
      <c r="F31" s="989"/>
      <c r="G31" s="989"/>
      <c r="H31" s="989"/>
      <c r="I31" s="989"/>
      <c r="J31" s="989"/>
      <c r="K31" s="98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992"/>
      <c r="B32" s="993"/>
      <c r="C32" s="993"/>
      <c r="D32" s="993"/>
      <c r="E32" s="347">
        <v>0</v>
      </c>
      <c r="F32" s="982">
        <v>0</v>
      </c>
      <c r="G32" s="983"/>
      <c r="H32" s="982">
        <f>+IF(OR(EXACT(K8,"X"),EXACT(K8,"x")),MIN(2000000*E32,CEILING(+E32*F32,1)),0)</f>
        <v>0</v>
      </c>
      <c r="I32" s="983"/>
      <c r="J32" s="990"/>
      <c r="K32" s="99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970"/>
      <c r="B33" s="971"/>
      <c r="C33" s="971"/>
      <c r="D33" s="971"/>
      <c r="E33" s="345">
        <v>0</v>
      </c>
      <c r="F33" s="980">
        <v>0</v>
      </c>
      <c r="G33" s="981"/>
      <c r="H33" s="980">
        <f>+IF(OR(EXACT(K8,"X"),EXACT(K8,"x")),MIN(2000000*E33,CEILING(+E33*F33,1)),0)</f>
        <v>0</v>
      </c>
      <c r="I33" s="981"/>
      <c r="J33" s="974"/>
      <c r="K33" s="97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970"/>
      <c r="B34" s="971"/>
      <c r="C34" s="971"/>
      <c r="D34" s="971"/>
      <c r="E34" s="345">
        <v>0</v>
      </c>
      <c r="F34" s="980">
        <v>0</v>
      </c>
      <c r="G34" s="981"/>
      <c r="H34" s="980">
        <f>+IF(OR(EXACT(K8,"X"),EXACT(K8,"x")),MIN(2000000*E34,CEILING(+E34*F34,1)),0)</f>
        <v>0</v>
      </c>
      <c r="I34" s="981"/>
      <c r="J34" s="974"/>
      <c r="K34" s="97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972" t="s">
        <v>54</v>
      </c>
      <c r="B35" s="973"/>
      <c r="C35" s="973"/>
      <c r="D35" s="973"/>
      <c r="E35" s="346"/>
      <c r="F35" s="978">
        <f>SUM(F32:F34)+F30</f>
        <v>0</v>
      </c>
      <c r="G35" s="979"/>
      <c r="H35" s="978">
        <f>SUM(H32:H34)+H30</f>
        <v>0</v>
      </c>
      <c r="I35" s="979"/>
      <c r="J35" s="976"/>
      <c r="K35" s="97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968" t="str">
        <f>+'DAP1'!A46</f>
        <v>Formulář zpracovala ASPEKT HM, daňová, účetní a auditorská kancelář, www.danovapriznani.cz, business.center.cz</v>
      </c>
      <c r="B36" s="968"/>
      <c r="C36" s="968"/>
      <c r="D36" s="968"/>
      <c r="E36" s="968"/>
      <c r="F36" s="968"/>
      <c r="G36" s="968"/>
      <c r="H36" s="968"/>
      <c r="I36" s="968"/>
      <c r="J36" s="968"/>
      <c r="K36" s="96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969" t="s">
        <v>3713</v>
      </c>
      <c r="B37" s="969"/>
      <c r="C37" s="969"/>
      <c r="D37" s="969"/>
      <c r="E37" s="969"/>
      <c r="F37" s="969"/>
      <c r="G37" s="969"/>
      <c r="H37" s="969"/>
      <c r="I37" s="969"/>
      <c r="J37" s="969"/>
      <c r="K37" s="969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966" t="s">
        <v>3714</v>
      </c>
      <c r="B38" s="967"/>
      <c r="C38" s="967"/>
      <c r="D38" s="967"/>
      <c r="E38" s="967"/>
      <c r="F38" s="967"/>
      <c r="G38" s="967"/>
      <c r="H38" s="967"/>
      <c r="I38" s="967"/>
      <c r="J38" s="967"/>
      <c r="K38" s="967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37/eLzFeGk+SlDvBzbAQwNRvwz6fMyhfEU+7e0ihc/qSsXHZGoXIZs1NNWGaCqJ3WmdcWaVrn/dtcLWliH8kqA==" saltValue="jmE7DRvjtR0CCuwEdGr4iQ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topLeftCell="A25" workbookViewId="0">
      <selection activeCell="F43" sqref="F43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996" t="s">
        <v>3410</v>
      </c>
      <c r="B1" s="1062"/>
      <c r="C1" s="1062"/>
      <c r="D1" s="1062"/>
      <c r="E1" s="1062"/>
      <c r="F1" s="1062"/>
      <c r="G1" s="1062"/>
    </row>
    <row r="2" spans="1:52" ht="15.95" customHeight="1" thickBot="1">
      <c r="A2" s="1063" t="s">
        <v>39</v>
      </c>
      <c r="B2" s="558"/>
      <c r="C2" s="129" t="s">
        <v>235</v>
      </c>
      <c r="D2" s="129"/>
      <c r="E2" s="129" t="s">
        <v>236</v>
      </c>
      <c r="F2" s="128" t="s">
        <v>237</v>
      </c>
      <c r="G2" s="128" t="s">
        <v>56</v>
      </c>
      <c r="AY2"/>
      <c r="AZ2"/>
    </row>
    <row r="3" spans="1:52" ht="15.95" customHeight="1" thickBot="1">
      <c r="A3" s="1053"/>
      <c r="B3" s="1054"/>
      <c r="C3" s="1051"/>
      <c r="D3" s="1052"/>
      <c r="E3" s="127"/>
      <c r="F3" s="132"/>
      <c r="G3" s="133">
        <v>12</v>
      </c>
      <c r="AY3"/>
      <c r="AZ3"/>
    </row>
    <row r="4" spans="1:52" ht="18" customHeight="1">
      <c r="A4" s="1066" t="s">
        <v>3498</v>
      </c>
      <c r="B4" s="1067"/>
      <c r="C4" s="1067"/>
      <c r="D4" s="1067"/>
      <c r="E4" s="1067"/>
      <c r="F4" s="1067"/>
      <c r="G4" s="1067"/>
    </row>
    <row r="5" spans="1:52" ht="15.95" customHeight="1" thickBot="1">
      <c r="A5" s="1074" t="s">
        <v>3499</v>
      </c>
      <c r="B5" s="1075"/>
      <c r="C5" s="1075"/>
      <c r="D5" s="1075"/>
      <c r="E5" s="1075"/>
      <c r="F5" s="1075"/>
      <c r="G5" s="1075"/>
    </row>
    <row r="6" spans="1:52" ht="22.5">
      <c r="A6" s="1072"/>
      <c r="B6" s="697"/>
      <c r="C6" s="697"/>
      <c r="D6" s="697"/>
      <c r="E6" s="1073"/>
      <c r="F6" s="78" t="s">
        <v>243</v>
      </c>
      <c r="G6" s="79" t="s">
        <v>242</v>
      </c>
    </row>
    <row r="7" spans="1:52" ht="15.95" customHeight="1">
      <c r="A7" s="40" t="s">
        <v>119</v>
      </c>
      <c r="B7" s="1047" t="s">
        <v>95</v>
      </c>
      <c r="C7" s="1047"/>
      <c r="D7" s="1047"/>
      <c r="E7" s="727"/>
      <c r="F7" s="63">
        <f>+ZAV!B7</f>
        <v>0</v>
      </c>
      <c r="G7" s="77">
        <f>+ZAV!C7</f>
        <v>0</v>
      </c>
    </row>
    <row r="8" spans="1:52" ht="15.95" customHeight="1">
      <c r="A8" s="40" t="s">
        <v>120</v>
      </c>
      <c r="B8" s="1047" t="s">
        <v>224</v>
      </c>
      <c r="C8" s="1047"/>
      <c r="D8" s="1047"/>
      <c r="E8" s="727"/>
      <c r="F8" s="63">
        <f>+ZAV!B9</f>
        <v>0</v>
      </c>
      <c r="G8" s="77">
        <f>+ZAV!C9</f>
        <v>0</v>
      </c>
    </row>
    <row r="9" spans="1:52" ht="15.95" customHeight="1">
      <c r="A9" s="40" t="s">
        <v>121</v>
      </c>
      <c r="B9" s="1047" t="s">
        <v>202</v>
      </c>
      <c r="C9" s="1047"/>
      <c r="D9" s="1047"/>
      <c r="E9" s="727"/>
      <c r="F9" s="63">
        <f>+ZAV!B10</f>
        <v>0</v>
      </c>
      <c r="G9" s="77">
        <f>+ZAV!C10</f>
        <v>0</v>
      </c>
    </row>
    <row r="10" spans="1:52" ht="15.95" customHeight="1">
      <c r="A10" s="40" t="s">
        <v>251</v>
      </c>
      <c r="B10" s="1047" t="s">
        <v>126</v>
      </c>
      <c r="C10" s="1047"/>
      <c r="D10" s="1047"/>
      <c r="E10" s="727"/>
      <c r="F10" s="63">
        <f>+ZAV!B12</f>
        <v>0</v>
      </c>
      <c r="G10" s="77">
        <f>+ZAV!C12</f>
        <v>0</v>
      </c>
    </row>
    <row r="11" spans="1:52" ht="15.95" customHeight="1">
      <c r="A11" s="40" t="s">
        <v>91</v>
      </c>
      <c r="B11" s="1047" t="s">
        <v>3411</v>
      </c>
      <c r="C11" s="1047"/>
      <c r="D11" s="1047"/>
      <c r="E11" s="727"/>
      <c r="F11" s="63">
        <f>+ZAV!B13+ZAV!B14</f>
        <v>0</v>
      </c>
      <c r="G11" s="77">
        <f>+ZAV!C13+ZAV!C14</f>
        <v>0</v>
      </c>
    </row>
    <row r="12" spans="1:52" ht="15.95" customHeight="1">
      <c r="A12" s="40" t="s">
        <v>250</v>
      </c>
      <c r="B12" s="1047" t="s">
        <v>203</v>
      </c>
      <c r="C12" s="1047"/>
      <c r="D12" s="1047"/>
      <c r="E12" s="727"/>
      <c r="F12" s="63">
        <f>+ZAV!B15+ZAV!B11+ZAV!B8</f>
        <v>0</v>
      </c>
      <c r="G12" s="77">
        <f>+ZAV!C15+ZAV!C11+ZAV!C8</f>
        <v>0</v>
      </c>
    </row>
    <row r="13" spans="1:52" ht="15.95" customHeight="1">
      <c r="A13" s="40" t="s">
        <v>249</v>
      </c>
      <c r="B13" s="1047" t="s">
        <v>3412</v>
      </c>
      <c r="C13" s="1047"/>
      <c r="D13" s="1047"/>
      <c r="E13" s="727"/>
      <c r="F13" s="63">
        <f>+ZAV!B19+ZAV!B20</f>
        <v>0</v>
      </c>
      <c r="G13" s="77">
        <f>+ZAV!C19+ZAV!C20</f>
        <v>0</v>
      </c>
    </row>
    <row r="14" spans="1:52" ht="15.95" customHeight="1" thickBot="1">
      <c r="A14" s="41" t="s">
        <v>248</v>
      </c>
      <c r="B14" s="1071" t="s">
        <v>246</v>
      </c>
      <c r="C14" s="1071"/>
      <c r="D14" s="1071"/>
      <c r="E14" s="734"/>
      <c r="F14" s="64">
        <f>+ZAV!B22</f>
        <v>0</v>
      </c>
      <c r="G14" s="91">
        <f>+ZAV!C22</f>
        <v>0</v>
      </c>
    </row>
    <row r="15" spans="1:52" ht="9" customHeight="1" thickBot="1">
      <c r="A15" s="1066"/>
      <c r="B15" s="1067"/>
      <c r="C15" s="1067"/>
      <c r="D15" s="1067"/>
      <c r="E15" s="1067"/>
      <c r="F15" s="1067"/>
      <c r="G15" s="1067"/>
    </row>
    <row r="16" spans="1:52" ht="15.95" customHeight="1" thickBot="1">
      <c r="A16" s="80" t="s">
        <v>247</v>
      </c>
      <c r="B16" s="105" t="s">
        <v>27</v>
      </c>
      <c r="C16" s="1068"/>
      <c r="D16" s="1069"/>
      <c r="E16" s="1070"/>
      <c r="F16" s="1067"/>
      <c r="G16" s="1067"/>
    </row>
    <row r="17" spans="1:7" ht="15" customHeight="1">
      <c r="A17" s="1064" t="s">
        <v>204</v>
      </c>
      <c r="B17" s="1065"/>
      <c r="C17" s="1065"/>
      <c r="D17" s="1065"/>
      <c r="E17" s="1065"/>
      <c r="F17" s="1065"/>
      <c r="G17" s="1065"/>
    </row>
    <row r="18" spans="1:7" ht="18" customHeight="1" thickBot="1">
      <c r="A18" s="1055" t="s">
        <v>183</v>
      </c>
      <c r="B18" s="1056"/>
      <c r="C18" s="1056"/>
      <c r="D18" s="1056"/>
      <c r="E18" s="1056"/>
      <c r="F18" s="1056"/>
      <c r="G18" s="1056"/>
    </row>
    <row r="19" spans="1:7" ht="24" customHeight="1">
      <c r="A19" s="83" t="s">
        <v>3413</v>
      </c>
      <c r="B19" s="1057" t="s">
        <v>57</v>
      </c>
      <c r="C19" s="1058"/>
      <c r="D19" s="1058"/>
      <c r="E19" s="1059"/>
      <c r="F19" s="1060" t="s">
        <v>168</v>
      </c>
      <c r="G19" s="1061"/>
    </row>
    <row r="20" spans="1:7" ht="15.95" customHeight="1">
      <c r="A20" s="38" t="s">
        <v>119</v>
      </c>
      <c r="B20" s="1048"/>
      <c r="C20" s="1048"/>
      <c r="D20" s="1048"/>
      <c r="E20" s="1048"/>
      <c r="F20" s="1049"/>
      <c r="G20" s="1050"/>
    </row>
    <row r="21" spans="1:7" ht="15.95" customHeight="1">
      <c r="A21" s="38" t="s">
        <v>120</v>
      </c>
      <c r="B21" s="1048"/>
      <c r="C21" s="1048"/>
      <c r="D21" s="1048"/>
      <c r="E21" s="1048"/>
      <c r="F21" s="1049"/>
      <c r="G21" s="1050"/>
    </row>
    <row r="22" spans="1:7" ht="15.95" customHeight="1">
      <c r="A22" s="38" t="s">
        <v>121</v>
      </c>
      <c r="B22" s="1048"/>
      <c r="C22" s="1048"/>
      <c r="D22" s="1048"/>
      <c r="E22" s="1048"/>
      <c r="F22" s="1049"/>
      <c r="G22" s="1050"/>
    </row>
    <row r="23" spans="1:7" ht="15.95" customHeight="1" thickBot="1">
      <c r="A23" s="39" t="s">
        <v>251</v>
      </c>
      <c r="B23" s="1076"/>
      <c r="C23" s="1076"/>
      <c r="D23" s="1076"/>
      <c r="E23" s="1076"/>
      <c r="F23" s="1077"/>
      <c r="G23" s="1078"/>
    </row>
    <row r="24" spans="1:7" ht="13.5" thickBot="1">
      <c r="A24" s="1055"/>
      <c r="B24" s="1056"/>
      <c r="C24" s="1056"/>
      <c r="D24" s="1056"/>
      <c r="E24" s="1056"/>
      <c r="F24" s="1056"/>
      <c r="G24" s="1056"/>
    </row>
    <row r="25" spans="1:7" ht="24.75" customHeight="1">
      <c r="A25" s="83" t="s">
        <v>169</v>
      </c>
      <c r="B25" s="1057" t="s">
        <v>58</v>
      </c>
      <c r="C25" s="1058"/>
      <c r="D25" s="1058"/>
      <c r="E25" s="1059"/>
      <c r="F25" s="1060" t="s">
        <v>168</v>
      </c>
      <c r="G25" s="1061"/>
    </row>
    <row r="26" spans="1:7" ht="15.95" customHeight="1">
      <c r="A26" s="38" t="s">
        <v>119</v>
      </c>
      <c r="B26" s="1048"/>
      <c r="C26" s="1048"/>
      <c r="D26" s="1048"/>
      <c r="E26" s="1048"/>
      <c r="F26" s="1049"/>
      <c r="G26" s="1050"/>
    </row>
    <row r="27" spans="1:7" ht="15.95" customHeight="1">
      <c r="A27" s="38" t="s">
        <v>120</v>
      </c>
      <c r="B27" s="1048"/>
      <c r="C27" s="1048"/>
      <c r="D27" s="1048"/>
      <c r="E27" s="1048"/>
      <c r="F27" s="1049"/>
      <c r="G27" s="1050"/>
    </row>
    <row r="28" spans="1:7" ht="15.95" customHeight="1">
      <c r="A28" s="38" t="s">
        <v>121</v>
      </c>
      <c r="B28" s="1048"/>
      <c r="C28" s="1048"/>
      <c r="D28" s="1048"/>
      <c r="E28" s="1048"/>
      <c r="F28" s="1049"/>
      <c r="G28" s="1050"/>
    </row>
    <row r="29" spans="1:7" ht="15.95" customHeight="1" thickBot="1">
      <c r="A29" s="39" t="s">
        <v>251</v>
      </c>
      <c r="B29" s="1076"/>
      <c r="C29" s="1076"/>
      <c r="D29" s="1076"/>
      <c r="E29" s="1076"/>
      <c r="F29" s="1077"/>
      <c r="G29" s="1078"/>
    </row>
    <row r="30" spans="1:7" ht="18" customHeight="1" thickBot="1">
      <c r="A30" s="1055" t="s">
        <v>71</v>
      </c>
      <c r="B30" s="1056"/>
      <c r="C30" s="1056"/>
      <c r="D30" s="1056"/>
      <c r="E30" s="1056"/>
      <c r="F30" s="1056"/>
      <c r="G30" s="1056"/>
    </row>
    <row r="31" spans="1:7" ht="15.95" customHeight="1">
      <c r="A31" s="1084" t="s">
        <v>72</v>
      </c>
      <c r="B31" s="1085"/>
      <c r="C31" s="1085"/>
      <c r="D31" s="1085"/>
      <c r="E31" s="1085"/>
      <c r="F31" s="1085"/>
      <c r="G31" s="1086"/>
    </row>
    <row r="32" spans="1:7" ht="15.95" customHeight="1">
      <c r="A32" s="87"/>
      <c r="B32" s="23" t="s">
        <v>40</v>
      </c>
      <c r="C32" s="1080" t="s">
        <v>86</v>
      </c>
      <c r="D32" s="1080"/>
      <c r="E32" s="23" t="s">
        <v>133</v>
      </c>
      <c r="F32" s="23" t="s">
        <v>87</v>
      </c>
      <c r="G32" s="24" t="s">
        <v>88</v>
      </c>
    </row>
    <row r="33" spans="1:52" ht="15.95" customHeight="1">
      <c r="A33" s="25" t="s">
        <v>119</v>
      </c>
      <c r="B33" s="93"/>
      <c r="C33" s="1079"/>
      <c r="D33" s="1079"/>
      <c r="E33" s="27"/>
      <c r="F33" s="30"/>
      <c r="G33" s="29"/>
    </row>
    <row r="34" spans="1:52" ht="15.95" customHeight="1">
      <c r="A34" s="25" t="s">
        <v>120</v>
      </c>
      <c r="B34" s="28"/>
      <c r="C34" s="1079"/>
      <c r="D34" s="1079"/>
      <c r="E34" s="94"/>
      <c r="F34" s="95"/>
      <c r="G34" s="96"/>
    </row>
    <row r="35" spans="1:52" ht="15.95" customHeight="1" thickBot="1">
      <c r="A35" s="26" t="s">
        <v>121</v>
      </c>
      <c r="B35" s="97"/>
      <c r="C35" s="1083"/>
      <c r="D35" s="1083"/>
      <c r="E35" s="97"/>
      <c r="F35" s="31"/>
      <c r="G35" s="32"/>
    </row>
    <row r="36" spans="1:52" ht="18" customHeight="1" thickBot="1">
      <c r="A36" s="1087" t="s">
        <v>225</v>
      </c>
      <c r="B36" s="1088"/>
      <c r="C36" s="1088"/>
      <c r="D36" s="1088"/>
      <c r="E36" s="1088"/>
      <c r="F36" s="1088"/>
      <c r="G36" s="1088"/>
    </row>
    <row r="37" spans="1:52" ht="15.95" customHeight="1">
      <c r="A37" s="1089" t="s">
        <v>73</v>
      </c>
      <c r="B37" s="1090"/>
      <c r="C37" s="1090"/>
      <c r="D37" s="1090"/>
      <c r="E37" s="1090"/>
      <c r="F37" s="1090"/>
      <c r="G37" s="1091"/>
    </row>
    <row r="38" spans="1:52" ht="24" customHeight="1">
      <c r="A38" s="88"/>
      <c r="B38" s="1092" t="s">
        <v>40</v>
      </c>
      <c r="C38" s="1093"/>
      <c r="D38" s="1092" t="s">
        <v>86</v>
      </c>
      <c r="E38" s="1093"/>
      <c r="F38" s="33" t="s">
        <v>201</v>
      </c>
      <c r="G38" s="34" t="s">
        <v>252</v>
      </c>
    </row>
    <row r="39" spans="1:52" ht="15.95" customHeight="1">
      <c r="A39" s="25" t="s">
        <v>119</v>
      </c>
      <c r="B39" s="1104"/>
      <c r="C39" s="1105"/>
      <c r="D39" s="1104"/>
      <c r="E39" s="1105"/>
      <c r="F39" s="414"/>
      <c r="G39" s="29"/>
    </row>
    <row r="40" spans="1:52" ht="15.95" customHeight="1" thickBot="1">
      <c r="A40" s="26" t="s">
        <v>120</v>
      </c>
      <c r="B40" s="1081"/>
      <c r="C40" s="1082"/>
      <c r="D40" s="1081"/>
      <c r="E40" s="1082"/>
      <c r="F40" s="8"/>
      <c r="G40" s="32"/>
    </row>
    <row r="41" spans="1:52" s="81" customFormat="1" ht="18" customHeight="1" thickBot="1">
      <c r="A41" s="1087" t="s">
        <v>184</v>
      </c>
      <c r="B41" s="1088"/>
      <c r="C41" s="1088"/>
      <c r="D41" s="1088"/>
      <c r="E41" s="1088"/>
      <c r="F41" s="1088"/>
      <c r="G41" s="1088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</row>
    <row r="42" spans="1:52" ht="15.95" customHeight="1">
      <c r="A42" s="1089" t="s">
        <v>74</v>
      </c>
      <c r="B42" s="1090"/>
      <c r="C42" s="1090"/>
      <c r="D42" s="1090"/>
      <c r="E42" s="1090"/>
      <c r="F42" s="1090"/>
      <c r="G42" s="1091"/>
    </row>
    <row r="43" spans="1:52" ht="24" customHeight="1">
      <c r="A43" s="88"/>
      <c r="B43" s="792" t="s">
        <v>40</v>
      </c>
      <c r="C43" s="1103"/>
      <c r="D43" s="792" t="s">
        <v>86</v>
      </c>
      <c r="E43" s="1103"/>
      <c r="F43" s="415" t="s">
        <v>133</v>
      </c>
      <c r="G43" s="34" t="s">
        <v>252</v>
      </c>
    </row>
    <row r="44" spans="1:52" ht="15.95" customHeight="1" thickBot="1">
      <c r="A44" s="26" t="s">
        <v>119</v>
      </c>
      <c r="B44" s="1100"/>
      <c r="C44" s="1082"/>
      <c r="D44" s="1100"/>
      <c r="E44" s="1082"/>
      <c r="F44" s="416"/>
      <c r="G44" s="32"/>
    </row>
    <row r="45" spans="1:52" ht="13.5" thickBot="1">
      <c r="A45" s="1101" t="s">
        <v>260</v>
      </c>
      <c r="B45" s="1102"/>
      <c r="C45" s="1102"/>
      <c r="D45" s="1102"/>
      <c r="E45" s="1102"/>
      <c r="F45" s="1102"/>
      <c r="G45" s="1102"/>
    </row>
    <row r="46" spans="1:52">
      <c r="A46" s="1096" t="s">
        <v>185</v>
      </c>
      <c r="B46" s="1097"/>
      <c r="C46" s="1097"/>
      <c r="D46" s="1097"/>
      <c r="E46" s="1097"/>
      <c r="F46" s="35" t="s">
        <v>133</v>
      </c>
      <c r="G46" s="36" t="s">
        <v>134</v>
      </c>
    </row>
    <row r="47" spans="1:52" ht="13.5" thickBot="1">
      <c r="A47" s="1098"/>
      <c r="B47" s="1099"/>
      <c r="C47" s="1099"/>
      <c r="D47" s="1099"/>
      <c r="E47" s="1099"/>
      <c r="F47" s="92"/>
      <c r="G47" s="37"/>
    </row>
    <row r="48" spans="1:52" ht="9" customHeight="1">
      <c r="A48" s="1094" t="s">
        <v>3715</v>
      </c>
      <c r="B48" s="542"/>
      <c r="C48" s="542"/>
      <c r="D48" s="542"/>
      <c r="E48" s="542"/>
      <c r="F48" s="542"/>
      <c r="G48" s="542"/>
    </row>
    <row r="49" spans="1:7" ht="9" customHeight="1">
      <c r="A49" s="1095" t="s">
        <v>3716</v>
      </c>
      <c r="B49" s="502"/>
      <c r="C49" s="502"/>
      <c r="D49" s="502"/>
      <c r="E49" s="502"/>
      <c r="F49" s="502"/>
      <c r="G49" s="502"/>
    </row>
    <row r="50" spans="1:7">
      <c r="A50" s="966" t="s">
        <v>3717</v>
      </c>
      <c r="B50" s="967"/>
      <c r="C50" s="967"/>
      <c r="D50" s="967"/>
      <c r="E50" s="967"/>
      <c r="F50" s="967"/>
      <c r="G50" s="967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cNv7GFNlEojsMvDONddeqsCuV6xZOU104drpsPwG4c7JL+/d6In0v17gxpRIbCtOa4H70bQXD4A/GHa/f/McNQ==" saltValue="XcEU7ggpCeIY7aQVANVRTA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A22" sqref="A22:C22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1037" t="s">
        <v>170</v>
      </c>
      <c r="B1" s="1038"/>
      <c r="C1" s="1038"/>
      <c r="D1" s="1038"/>
      <c r="E1" s="1038"/>
      <c r="F1" s="1038"/>
      <c r="G1" s="1136" t="s">
        <v>36</v>
      </c>
      <c r="H1" s="545"/>
      <c r="I1" s="1023" t="str">
        <f>'DAP1'!A9</f>
        <v/>
      </c>
      <c r="J1" s="641"/>
    </row>
    <row r="2" spans="1:59" ht="24" customHeight="1">
      <c r="A2" s="1036" t="s">
        <v>3719</v>
      </c>
      <c r="B2" s="1036"/>
      <c r="C2" s="1036"/>
      <c r="D2" s="1036"/>
      <c r="E2" s="1036"/>
      <c r="F2" s="1036"/>
      <c r="G2" s="502"/>
      <c r="H2" s="1067"/>
      <c r="I2" s="1067"/>
      <c r="J2" s="1067"/>
    </row>
    <row r="3" spans="1:59" ht="36" customHeight="1">
      <c r="A3" s="1027" t="s">
        <v>143</v>
      </c>
      <c r="B3" s="1028"/>
      <c r="C3" s="1028"/>
      <c r="D3" s="1028"/>
      <c r="E3" s="1028"/>
      <c r="F3" s="1028"/>
      <c r="G3" s="1028"/>
      <c r="H3" s="1028"/>
      <c r="I3" s="1028"/>
      <c r="J3" s="1028"/>
    </row>
    <row r="4" spans="1:59" ht="30" customHeight="1">
      <c r="A4" s="1122" t="s">
        <v>3414</v>
      </c>
      <c r="B4" s="1123"/>
      <c r="C4" s="1123"/>
      <c r="D4" s="1123"/>
      <c r="E4" s="1123"/>
      <c r="F4" s="1123"/>
      <c r="G4" s="1123"/>
      <c r="H4" s="1123"/>
      <c r="I4" s="1123"/>
      <c r="J4" s="1123"/>
    </row>
    <row r="5" spans="1:59" ht="18" customHeight="1">
      <c r="A5" s="938" t="s">
        <v>3415</v>
      </c>
      <c r="B5" s="1041"/>
      <c r="C5" s="1041"/>
      <c r="D5" s="1041"/>
      <c r="E5" s="1041"/>
      <c r="F5" s="1041"/>
      <c r="G5" s="1041"/>
      <c r="H5" s="1041"/>
      <c r="I5" s="1041"/>
      <c r="J5" s="1041"/>
    </row>
    <row r="6" spans="1:59" ht="18" customHeight="1" thickBot="1">
      <c r="A6" s="1106" t="s">
        <v>226</v>
      </c>
      <c r="B6" s="791"/>
      <c r="C6" s="791"/>
      <c r="D6" s="791"/>
      <c r="E6" s="791"/>
      <c r="F6" s="791"/>
      <c r="G6" s="791"/>
      <c r="H6" s="791"/>
      <c r="I6" s="791"/>
      <c r="J6" s="791"/>
    </row>
    <row r="7" spans="1:59" s="104" customFormat="1" ht="24" customHeight="1" thickBot="1">
      <c r="A7" s="1138" t="s">
        <v>3416</v>
      </c>
      <c r="B7" s="1139"/>
      <c r="C7" s="1139"/>
      <c r="D7" s="154"/>
      <c r="E7" s="155"/>
      <c r="F7" s="1131" t="s">
        <v>77</v>
      </c>
      <c r="G7" s="1132"/>
      <c r="H7" s="1132"/>
      <c r="I7" s="1132"/>
      <c r="J7" s="154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</row>
    <row r="8" spans="1:59" s="104" customFormat="1" ht="9.9499999999999993" customHeight="1" thickBot="1">
      <c r="A8" s="1106"/>
      <c r="B8" s="1107"/>
      <c r="C8" s="1107"/>
      <c r="D8" s="1107"/>
      <c r="E8" s="1107"/>
      <c r="F8" s="1107"/>
      <c r="G8" s="1107"/>
      <c r="H8" s="1107"/>
      <c r="I8" s="1107"/>
      <c r="J8" s="1107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</row>
    <row r="9" spans="1:59" ht="12" customHeight="1">
      <c r="A9" s="1072"/>
      <c r="B9" s="690"/>
      <c r="C9" s="690"/>
      <c r="D9" s="690"/>
      <c r="E9" s="690"/>
      <c r="F9" s="1133"/>
      <c r="G9" s="820" t="s">
        <v>132</v>
      </c>
      <c r="H9" s="1127"/>
      <c r="I9" s="820" t="s">
        <v>140</v>
      </c>
      <c r="J9" s="1128"/>
    </row>
    <row r="10" spans="1:59" ht="21" customHeight="1">
      <c r="A10" s="17">
        <v>201</v>
      </c>
      <c r="B10" s="1116" t="s">
        <v>3616</v>
      </c>
      <c r="C10" s="1116"/>
      <c r="D10" s="1116"/>
      <c r="E10" s="1116"/>
      <c r="F10" s="1117"/>
      <c r="G10" s="1120">
        <v>0</v>
      </c>
      <c r="H10" s="1121"/>
      <c r="I10" s="1108"/>
      <c r="J10" s="758"/>
    </row>
    <row r="11" spans="1:59" ht="21" customHeight="1">
      <c r="A11" s="17" t="s">
        <v>75</v>
      </c>
      <c r="B11" s="1116" t="s">
        <v>3417</v>
      </c>
      <c r="C11" s="1116"/>
      <c r="D11" s="1116"/>
      <c r="E11" s="1116"/>
      <c r="F11" s="1117"/>
      <c r="G11" s="1120">
        <f>+G10</f>
        <v>0</v>
      </c>
      <c r="H11" s="1121"/>
      <c r="I11" s="1108"/>
      <c r="J11" s="758"/>
    </row>
    <row r="12" spans="1:59" ht="21" customHeight="1">
      <c r="A12" s="17">
        <v>202</v>
      </c>
      <c r="B12" s="1116" t="s">
        <v>214</v>
      </c>
      <c r="C12" s="1116"/>
      <c r="D12" s="1116"/>
      <c r="E12" s="1116"/>
      <c r="F12" s="1117"/>
      <c r="G12" s="1120">
        <f>+IF(OR(EXACT(D7,"X"),EXACT(D7,"x")),+MIN(600000,ROUND(G10*0.3,0)),0)</f>
        <v>0</v>
      </c>
      <c r="H12" s="1121"/>
      <c r="I12" s="1108"/>
      <c r="J12" s="758"/>
    </row>
    <row r="13" spans="1:59" ht="27.95" customHeight="1">
      <c r="A13" s="17">
        <v>203</v>
      </c>
      <c r="B13" s="1118" t="s">
        <v>78</v>
      </c>
      <c r="C13" s="1118"/>
      <c r="D13" s="1118"/>
      <c r="E13" s="1118"/>
      <c r="F13" s="1119"/>
      <c r="G13" s="702">
        <f>+G10-G12</f>
        <v>0</v>
      </c>
      <c r="H13" s="1140"/>
      <c r="I13" s="1108"/>
      <c r="J13" s="758"/>
    </row>
    <row r="14" spans="1:59" ht="36" customHeight="1">
      <c r="A14" s="17">
        <v>204</v>
      </c>
      <c r="B14" s="1118" t="s">
        <v>3500</v>
      </c>
      <c r="C14" s="1118"/>
      <c r="D14" s="1118"/>
      <c r="E14" s="1118"/>
      <c r="F14" s="1119"/>
      <c r="G14" s="1120">
        <v>0</v>
      </c>
      <c r="H14" s="1121"/>
      <c r="I14" s="1108"/>
      <c r="J14" s="758"/>
    </row>
    <row r="15" spans="1:59" ht="36" customHeight="1">
      <c r="A15" s="17">
        <v>205</v>
      </c>
      <c r="B15" s="1118" t="s">
        <v>3501</v>
      </c>
      <c r="C15" s="1118"/>
      <c r="D15" s="1118"/>
      <c r="E15" s="1118"/>
      <c r="F15" s="1119"/>
      <c r="G15" s="1120">
        <v>0</v>
      </c>
      <c r="H15" s="1121"/>
      <c r="I15" s="1108"/>
      <c r="J15" s="758"/>
    </row>
    <row r="16" spans="1:59" ht="27.95" customHeight="1" thickBot="1">
      <c r="A16" s="16">
        <v>206</v>
      </c>
      <c r="B16" s="659" t="s">
        <v>3588</v>
      </c>
      <c r="C16" s="659"/>
      <c r="D16" s="659"/>
      <c r="E16" s="659"/>
      <c r="F16" s="1141"/>
      <c r="G16" s="699">
        <f>+G13+G14-G15</f>
        <v>0</v>
      </c>
      <c r="H16" s="1134"/>
      <c r="I16" s="1135"/>
      <c r="J16" s="739"/>
    </row>
    <row r="17" spans="1:10" ht="8.1" customHeight="1" thickBot="1">
      <c r="A17" s="938"/>
      <c r="B17" s="1041"/>
      <c r="C17" s="1041"/>
      <c r="D17" s="1041"/>
      <c r="E17" s="1041"/>
      <c r="F17" s="1041"/>
      <c r="G17" s="1041"/>
      <c r="H17" s="1041"/>
      <c r="I17" s="1041"/>
      <c r="J17" s="1041"/>
    </row>
    <row r="18" spans="1:10" ht="24" customHeight="1" thickBot="1">
      <c r="A18" s="1109" t="s">
        <v>222</v>
      </c>
      <c r="B18" s="1110"/>
      <c r="C18" s="1112">
        <v>0</v>
      </c>
      <c r="D18" s="1113"/>
      <c r="E18" s="1114"/>
      <c r="F18" s="1111" t="s">
        <v>223</v>
      </c>
      <c r="G18" s="1110"/>
      <c r="H18" s="1112">
        <v>0</v>
      </c>
      <c r="I18" s="1113"/>
      <c r="J18" s="1115"/>
    </row>
    <row r="19" spans="1:10" ht="12" customHeight="1">
      <c r="A19" s="938"/>
      <c r="B19" s="1041"/>
      <c r="C19" s="1041"/>
      <c r="D19" s="1041"/>
      <c r="E19" s="1041"/>
      <c r="F19" s="1041"/>
      <c r="G19" s="1041"/>
      <c r="H19" s="1041"/>
      <c r="I19" s="1041"/>
      <c r="J19" s="1041"/>
    </row>
    <row r="20" spans="1:10" ht="15.95" customHeight="1">
      <c r="A20" s="938" t="s">
        <v>3418</v>
      </c>
      <c r="B20" s="1041"/>
      <c r="C20" s="1041"/>
      <c r="D20" s="1041"/>
      <c r="E20" s="1041"/>
      <c r="F20" s="1041"/>
      <c r="G20" s="1041"/>
      <c r="H20" s="1041"/>
      <c r="I20" s="1041"/>
      <c r="J20" s="1041"/>
    </row>
    <row r="21" spans="1:10" ht="15.95" customHeight="1" thickBot="1">
      <c r="A21" s="1106" t="s">
        <v>215</v>
      </c>
      <c r="B21" s="791"/>
      <c r="C21" s="791"/>
      <c r="D21" s="791"/>
      <c r="E21" s="791"/>
      <c r="F21" s="791"/>
      <c r="G21" s="791"/>
      <c r="H21" s="791"/>
      <c r="I21" s="791"/>
      <c r="J21" s="791"/>
    </row>
    <row r="22" spans="1:10" ht="24" customHeight="1">
      <c r="A22" s="1154" t="s">
        <v>135</v>
      </c>
      <c r="B22" s="697"/>
      <c r="C22" s="1073"/>
      <c r="D22" s="1043" t="s">
        <v>129</v>
      </c>
      <c r="E22" s="1144"/>
      <c r="F22" s="1043" t="s">
        <v>130</v>
      </c>
      <c r="G22" s="1144"/>
      <c r="H22" s="1148" t="s">
        <v>3419</v>
      </c>
      <c r="I22" s="809"/>
      <c r="J22" s="116" t="s">
        <v>84</v>
      </c>
    </row>
    <row r="23" spans="1:10">
      <c r="A23" s="1155">
        <v>1</v>
      </c>
      <c r="B23" s="620"/>
      <c r="C23" s="719"/>
      <c r="D23" s="777">
        <v>2</v>
      </c>
      <c r="E23" s="1145"/>
      <c r="F23" s="777">
        <v>3</v>
      </c>
      <c r="G23" s="1145"/>
      <c r="H23" s="777">
        <v>4</v>
      </c>
      <c r="I23" s="1149"/>
      <c r="J23" s="7">
        <v>5</v>
      </c>
    </row>
    <row r="24" spans="1:10" ht="21" customHeight="1">
      <c r="A24" s="17">
        <v>1</v>
      </c>
      <c r="B24" s="1158"/>
      <c r="C24" s="632"/>
      <c r="D24" s="1142">
        <v>0</v>
      </c>
      <c r="E24" s="1143"/>
      <c r="F24" s="1142">
        <v>0</v>
      </c>
      <c r="G24" s="1143"/>
      <c r="H24" s="1146">
        <f>+D24-F24</f>
        <v>0</v>
      </c>
      <c r="I24" s="1147"/>
      <c r="J24" s="98"/>
    </row>
    <row r="25" spans="1:10" ht="21" customHeight="1">
      <c r="A25" s="17">
        <v>2</v>
      </c>
      <c r="B25" s="1158"/>
      <c r="C25" s="632"/>
      <c r="D25" s="1142">
        <v>0</v>
      </c>
      <c r="E25" s="1143"/>
      <c r="F25" s="1142">
        <v>0</v>
      </c>
      <c r="G25" s="1143"/>
      <c r="H25" s="1146">
        <f t="shared" ref="H25:H27" si="0">+D25-F25</f>
        <v>0</v>
      </c>
      <c r="I25" s="1147"/>
      <c r="J25" s="98"/>
    </row>
    <row r="26" spans="1:10" ht="21" customHeight="1">
      <c r="A26" s="17">
        <v>3</v>
      </c>
      <c r="B26" s="1158"/>
      <c r="C26" s="632"/>
      <c r="D26" s="1142">
        <v>0</v>
      </c>
      <c r="E26" s="1143"/>
      <c r="F26" s="1142">
        <v>0</v>
      </c>
      <c r="G26" s="1143"/>
      <c r="H26" s="1146">
        <f t="shared" si="0"/>
        <v>0</v>
      </c>
      <c r="I26" s="1147"/>
      <c r="J26" s="98"/>
    </row>
    <row r="27" spans="1:10" ht="21" customHeight="1">
      <c r="A27" s="17">
        <v>4</v>
      </c>
      <c r="B27" s="1158"/>
      <c r="C27" s="632"/>
      <c r="D27" s="1142">
        <v>0</v>
      </c>
      <c r="E27" s="1143"/>
      <c r="F27" s="1142">
        <v>0</v>
      </c>
      <c r="G27" s="1143"/>
      <c r="H27" s="1146">
        <f t="shared" si="0"/>
        <v>0</v>
      </c>
      <c r="I27" s="1147"/>
      <c r="J27" s="98"/>
    </row>
    <row r="28" spans="1:10" ht="21" customHeight="1" thickBot="1">
      <c r="A28" s="1156" t="s">
        <v>102</v>
      </c>
      <c r="B28" s="1157"/>
      <c r="C28" s="734"/>
      <c r="D28" s="1150">
        <f>SUM(D24:D27)</f>
        <v>0</v>
      </c>
      <c r="E28" s="1151"/>
      <c r="F28" s="1150">
        <f>SUM(F24:F27)</f>
        <v>0</v>
      </c>
      <c r="G28" s="1151"/>
      <c r="H28" s="1150">
        <f>+MAX(H24,0)+MAX(H25,0)+MAX(H26,0)+MAX(H27,0)</f>
        <v>0</v>
      </c>
      <c r="I28" s="1151"/>
      <c r="J28" s="18" t="s">
        <v>125</v>
      </c>
    </row>
    <row r="29" spans="1:10" ht="5.0999999999999996" customHeight="1" thickBot="1">
      <c r="A29" s="1159"/>
      <c r="B29" s="542"/>
      <c r="C29" s="542"/>
      <c r="D29" s="542"/>
      <c r="E29" s="542"/>
      <c r="F29" s="542"/>
      <c r="G29" s="542"/>
      <c r="H29" s="542"/>
      <c r="I29" s="542"/>
      <c r="J29" s="542"/>
    </row>
    <row r="30" spans="1:10" ht="24" customHeight="1" thickBot="1">
      <c r="A30" s="637" t="s">
        <v>76</v>
      </c>
      <c r="B30" s="1160"/>
      <c r="C30" s="1161"/>
      <c r="D30" s="1162"/>
      <c r="E30" s="1163"/>
      <c r="F30" s="1164"/>
      <c r="G30" s="1164"/>
      <c r="H30" s="1164"/>
      <c r="I30" s="1164"/>
      <c r="J30" s="1164"/>
    </row>
    <row r="31" spans="1:10" ht="5.0999999999999996" customHeight="1" thickBot="1">
      <c r="A31" s="1153"/>
      <c r="B31" s="558"/>
      <c r="C31" s="558"/>
      <c r="D31" s="558"/>
      <c r="E31" s="558"/>
      <c r="F31" s="558"/>
      <c r="G31" s="558"/>
      <c r="H31" s="558"/>
      <c r="I31" s="558"/>
      <c r="J31" s="558"/>
    </row>
    <row r="32" spans="1:10" ht="15.95" customHeight="1">
      <c r="A32" s="1072"/>
      <c r="B32" s="690"/>
      <c r="C32" s="690"/>
      <c r="D32" s="690"/>
      <c r="E32" s="690"/>
      <c r="F32" s="1133"/>
      <c r="G32" s="820" t="s">
        <v>132</v>
      </c>
      <c r="H32" s="1127"/>
      <c r="I32" s="820" t="s">
        <v>140</v>
      </c>
      <c r="J32" s="1128"/>
    </row>
    <row r="33" spans="1:10" ht="21" customHeight="1">
      <c r="A33" s="17">
        <v>207</v>
      </c>
      <c r="B33" s="718" t="s">
        <v>7</v>
      </c>
      <c r="C33" s="718"/>
      <c r="D33" s="718"/>
      <c r="E33" s="718"/>
      <c r="F33" s="811"/>
      <c r="G33" s="670">
        <f>+SUM(D24:E27)</f>
        <v>0</v>
      </c>
      <c r="H33" s="672"/>
      <c r="I33" s="1137"/>
      <c r="J33" s="730"/>
    </row>
    <row r="34" spans="1:10" ht="21" customHeight="1">
      <c r="A34" s="17">
        <v>208</v>
      </c>
      <c r="B34" s="718" t="s">
        <v>3420</v>
      </c>
      <c r="C34" s="718"/>
      <c r="D34" s="718"/>
      <c r="E34" s="718"/>
      <c r="F34" s="811"/>
      <c r="G34" s="670">
        <f>+G33-H28</f>
        <v>0</v>
      </c>
      <c r="H34" s="672"/>
      <c r="I34" s="1137"/>
      <c r="J34" s="730"/>
    </row>
    <row r="35" spans="1:10" ht="21" customHeight="1" thickBot="1">
      <c r="A35" s="16">
        <v>209</v>
      </c>
      <c r="B35" s="659" t="s">
        <v>104</v>
      </c>
      <c r="C35" s="659"/>
      <c r="D35" s="659"/>
      <c r="E35" s="659"/>
      <c r="F35" s="1141"/>
      <c r="G35" s="699">
        <f>+G33-G34</f>
        <v>0</v>
      </c>
      <c r="H35" s="701"/>
      <c r="I35" s="1152"/>
      <c r="J35" s="739"/>
    </row>
    <row r="36" spans="1:10" ht="10.5" customHeight="1">
      <c r="A36" s="1124" t="s">
        <v>79</v>
      </c>
      <c r="B36" s="1042"/>
      <c r="C36" s="1042"/>
      <c r="D36" s="1042"/>
      <c r="E36" s="1042"/>
      <c r="F36" s="1042"/>
      <c r="G36" s="1042"/>
      <c r="H36" s="1042"/>
      <c r="I36" s="1042"/>
      <c r="J36" s="1042"/>
    </row>
    <row r="37" spans="1:10" ht="30" customHeight="1">
      <c r="A37" s="1125" t="s">
        <v>3421</v>
      </c>
      <c r="B37" s="1126"/>
      <c r="C37" s="1126"/>
      <c r="D37" s="1126"/>
      <c r="E37" s="1126"/>
      <c r="F37" s="1126"/>
      <c r="G37" s="1126"/>
      <c r="H37" s="1126"/>
      <c r="I37" s="1126"/>
      <c r="J37" s="1126"/>
    </row>
    <row r="38" spans="1:10" ht="12.75" customHeight="1">
      <c r="A38" s="1129" t="str">
        <f>+'DAP1'!A46</f>
        <v>Formulář zpracovala ASPEKT HM, daňová, účetní a auditorská kancelář, www.danovapriznani.cz, business.center.cz</v>
      </c>
      <c r="B38" s="1130"/>
      <c r="C38" s="1130"/>
      <c r="D38" s="1130"/>
      <c r="E38" s="1130"/>
      <c r="F38" s="1130"/>
      <c r="G38" s="1130"/>
      <c r="H38" s="1130"/>
      <c r="I38" s="1130"/>
      <c r="J38" s="1130"/>
    </row>
    <row r="39" spans="1:10" ht="12.75" customHeight="1">
      <c r="A39" s="969" t="s">
        <v>3718</v>
      </c>
      <c r="B39" s="969"/>
      <c r="C39" s="969"/>
      <c r="D39" s="969"/>
      <c r="E39" s="969"/>
      <c r="F39" s="969"/>
      <c r="G39" s="969"/>
      <c r="H39" s="969"/>
      <c r="I39" s="969"/>
      <c r="J39" s="969"/>
    </row>
    <row r="40" spans="1:10" ht="12" customHeight="1">
      <c r="A40" s="966" t="s">
        <v>3714</v>
      </c>
      <c r="B40" s="967"/>
      <c r="C40" s="967"/>
      <c r="D40" s="967"/>
      <c r="E40" s="967"/>
      <c r="F40" s="967"/>
      <c r="G40" s="967"/>
      <c r="H40" s="502"/>
      <c r="I40" s="502"/>
      <c r="J40" s="502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Td0czQocJg4PKfB2ifqCcGfI3IIPSKzkw/v7blbFOF4Rz0NL/ziMIhRpEqotB4z7eHbPIojcwTCK7VszAC9ZkQ==" saltValue="gBj9+CF3xMA3jwb1Qc07VA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I11" sqref="I11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4" customFormat="1" ht="16.5" thickBot="1">
      <c r="A1" s="1037" t="s">
        <v>83</v>
      </c>
      <c r="B1" s="502"/>
      <c r="C1" s="502"/>
      <c r="D1" s="1136" t="s">
        <v>36</v>
      </c>
      <c r="E1" s="581"/>
      <c r="F1" s="912"/>
      <c r="G1" s="164" t="str">
        <f>+'2Př'!I1</f>
        <v/>
      </c>
      <c r="H1" s="73"/>
      <c r="I1" s="103"/>
      <c r="J1" s="103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 thickBot="1">
      <c r="A2" s="1036" t="s">
        <v>3720</v>
      </c>
      <c r="B2" s="1036"/>
      <c r="C2" s="1036"/>
      <c r="D2" s="1036"/>
      <c r="E2" s="1036"/>
      <c r="F2" s="1036"/>
      <c r="G2" s="112"/>
      <c r="I2" s="475" t="s">
        <v>3676</v>
      </c>
      <c r="J2" s="474"/>
    </row>
    <row r="3" spans="1:60" ht="36" customHeight="1">
      <c r="A3" s="1027" t="s">
        <v>143</v>
      </c>
      <c r="B3" s="529"/>
      <c r="C3" s="529"/>
      <c r="D3" s="529"/>
      <c r="E3" s="529"/>
      <c r="F3" s="529"/>
      <c r="G3" s="529"/>
    </row>
    <row r="4" spans="1:60" s="104" customFormat="1" ht="24" customHeight="1">
      <c r="A4" s="1181" t="s">
        <v>3422</v>
      </c>
      <c r="B4" s="1123"/>
      <c r="C4" s="1123"/>
      <c r="D4" s="1123"/>
      <c r="E4" s="1123"/>
      <c r="F4" s="1123"/>
      <c r="G4" s="1123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24" customHeight="1" thickBot="1">
      <c r="A5" s="1165" t="s">
        <v>3618</v>
      </c>
      <c r="B5" s="1002"/>
      <c r="C5" s="1002"/>
      <c r="D5" s="1002"/>
      <c r="E5" s="1002"/>
      <c r="F5" s="1002"/>
      <c r="G5" s="1002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5"/>
      <c r="B6" s="542"/>
      <c r="C6" s="542"/>
      <c r="D6" s="542"/>
      <c r="E6" s="542"/>
      <c r="F6" s="709" t="s">
        <v>213</v>
      </c>
      <c r="G6" s="1178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15" customHeight="1">
      <c r="A7" s="1176"/>
      <c r="B7" s="1177"/>
      <c r="C7" s="1177"/>
      <c r="D7" s="1177"/>
      <c r="E7" s="1177"/>
      <c r="F7" s="431" t="s">
        <v>132</v>
      </c>
      <c r="G7" s="430" t="s">
        <v>140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4" customHeight="1">
      <c r="A8" s="40">
        <v>311</v>
      </c>
      <c r="B8" s="1166" t="s">
        <v>3619</v>
      </c>
      <c r="C8" s="1166"/>
      <c r="D8" s="1166"/>
      <c r="E8" s="1167"/>
      <c r="F8" s="432">
        <f>+IF(EXACT(J2,"X"),'DAP2'!E7-'DAP2'!E8,0)</f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4" customHeight="1">
      <c r="A9" s="40">
        <v>312</v>
      </c>
      <c r="B9" s="1166" t="s">
        <v>3620</v>
      </c>
      <c r="C9" s="1166"/>
      <c r="D9" s="1166"/>
      <c r="E9" s="1167"/>
      <c r="F9" s="432">
        <f>+IF(EXACT(J2,"X"),+'DAP2'!E11+'DAP2'!E12+'DAP2'!E13+'DAP2'!E14,0)</f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4" customHeight="1">
      <c r="A10" s="40">
        <v>313</v>
      </c>
      <c r="B10" s="1166" t="s">
        <v>3621</v>
      </c>
      <c r="C10" s="1166"/>
      <c r="D10" s="1166"/>
      <c r="E10" s="1167"/>
      <c r="F10" s="433">
        <f>+F8+MAX(F9,0)</f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33.950000000000003" customHeight="1">
      <c r="A11" s="40">
        <v>314</v>
      </c>
      <c r="B11" s="1166" t="s">
        <v>3626</v>
      </c>
      <c r="C11" s="1166"/>
      <c r="D11" s="1166"/>
      <c r="E11" s="1167"/>
      <c r="F11" s="433">
        <f>IF(F10=0,0,FLOOR(+F10-'DAP2'!E18-'DAP2'!F31,100))</f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4" customHeight="1" thickBot="1">
      <c r="A12" s="40">
        <v>315</v>
      </c>
      <c r="B12" s="1166" t="s">
        <v>3622</v>
      </c>
      <c r="C12" s="1166"/>
      <c r="D12" s="1166"/>
      <c r="E12" s="1167"/>
      <c r="F12" s="434">
        <f>ROUND(IF(F11=0,0,+'DAP2'!F34/'DAP2'!F33),4)</f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4" customHeight="1" thickBot="1">
      <c r="A13" s="80">
        <v>316</v>
      </c>
      <c r="B13" s="1179" t="s">
        <v>3623</v>
      </c>
      <c r="C13" s="1179"/>
      <c r="D13" s="1179"/>
      <c r="E13" s="1180"/>
      <c r="F13" s="258">
        <f>+F11*F12</f>
        <v>0</v>
      </c>
      <c r="G13" s="8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15" customHeight="1">
      <c r="A14" s="1165"/>
      <c r="B14" s="1002"/>
      <c r="C14" s="1002"/>
      <c r="D14" s="1002"/>
      <c r="E14" s="1002"/>
      <c r="F14" s="1002"/>
      <c r="G14" s="1002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ht="24" customHeight="1">
      <c r="A15" s="1165" t="s">
        <v>3617</v>
      </c>
      <c r="B15" s="1002"/>
      <c r="C15" s="1002"/>
      <c r="D15" s="1002"/>
      <c r="E15" s="1002"/>
      <c r="F15" s="1002"/>
      <c r="G15" s="1002"/>
    </row>
    <row r="16" spans="1:60" ht="36" customHeight="1">
      <c r="A16" s="1171" t="s">
        <v>3423</v>
      </c>
      <c r="B16" s="544"/>
      <c r="C16" s="544"/>
      <c r="D16" s="544"/>
      <c r="E16" s="544"/>
      <c r="F16" s="544"/>
      <c r="G16" s="544"/>
    </row>
    <row r="17" spans="1:60" ht="15" customHeight="1">
      <c r="A17" s="1171" t="s">
        <v>205</v>
      </c>
      <c r="B17" s="912"/>
      <c r="C17" s="136"/>
      <c r="D17" s="1172"/>
      <c r="E17" s="544"/>
      <c r="F17" s="544"/>
      <c r="G17" s="544"/>
    </row>
    <row r="18" spans="1:60" ht="8.1" customHeight="1" thickBot="1">
      <c r="A18" s="1173"/>
      <c r="B18" s="1174"/>
      <c r="C18" s="1174"/>
      <c r="D18" s="1174"/>
      <c r="E18" s="1174"/>
      <c r="F18" s="1174"/>
      <c r="G18" s="1174"/>
    </row>
    <row r="19" spans="1:60" s="104" customFormat="1" ht="15" customHeight="1">
      <c r="A19" s="1168"/>
      <c r="B19" s="1169"/>
      <c r="C19" s="1169"/>
      <c r="D19" s="1169"/>
      <c r="E19" s="1170"/>
      <c r="F19" s="429" t="s">
        <v>132</v>
      </c>
      <c r="G19" s="430" t="s">
        <v>140</v>
      </c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ht="24" customHeight="1">
      <c r="A20" s="40">
        <v>321</v>
      </c>
      <c r="B20" s="1182" t="s">
        <v>206</v>
      </c>
      <c r="C20" s="1182"/>
      <c r="D20" s="1182"/>
      <c r="E20" s="1183"/>
      <c r="F20" s="106">
        <v>0</v>
      </c>
      <c r="G20" s="65"/>
    </row>
    <row r="21" spans="1:60" ht="24" customHeight="1">
      <c r="A21" s="40">
        <v>322</v>
      </c>
      <c r="B21" s="1182" t="s">
        <v>207</v>
      </c>
      <c r="C21" s="1182"/>
      <c r="D21" s="1182"/>
      <c r="E21" s="1183"/>
      <c r="F21" s="106">
        <v>0</v>
      </c>
      <c r="G21" s="65"/>
    </row>
    <row r="22" spans="1:60" ht="24" customHeight="1">
      <c r="A22" s="40">
        <v>323</v>
      </c>
      <c r="B22" s="1182" t="s">
        <v>101</v>
      </c>
      <c r="C22" s="1182"/>
      <c r="D22" s="1182"/>
      <c r="E22" s="1183"/>
      <c r="F22" s="106">
        <v>0</v>
      </c>
      <c r="G22" s="65"/>
    </row>
    <row r="23" spans="1:60" ht="24" customHeight="1">
      <c r="A23" s="40">
        <v>324</v>
      </c>
      <c r="B23" s="1189" t="s">
        <v>3721</v>
      </c>
      <c r="C23" s="1189"/>
      <c r="D23" s="1189"/>
      <c r="E23" s="1190"/>
      <c r="F23" s="253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60" ht="24" customHeight="1">
      <c r="A24" s="40">
        <v>325</v>
      </c>
      <c r="B24" s="1182" t="s">
        <v>3624</v>
      </c>
      <c r="C24" s="1182"/>
      <c r="D24" s="1182"/>
      <c r="E24" s="1183"/>
      <c r="F24" s="256">
        <f>ROUND((IF(F13=0,+'DAP2'!F34,F13))*'3Př'!F23,2)</f>
        <v>0</v>
      </c>
      <c r="G24" s="65"/>
    </row>
    <row r="25" spans="1:60" ht="24" customHeight="1" thickBot="1">
      <c r="A25" s="42">
        <v>326</v>
      </c>
      <c r="B25" s="1186" t="s">
        <v>127</v>
      </c>
      <c r="C25" s="1186"/>
      <c r="D25" s="1186"/>
      <c r="E25" s="1187"/>
      <c r="F25" s="257">
        <f>+MIN(F22,F24)</f>
        <v>0</v>
      </c>
      <c r="G25" s="84"/>
    </row>
    <row r="26" spans="1:60" ht="24" customHeight="1" thickBot="1">
      <c r="A26" s="80">
        <v>327</v>
      </c>
      <c r="B26" s="1179" t="s">
        <v>128</v>
      </c>
      <c r="C26" s="1179"/>
      <c r="D26" s="1179"/>
      <c r="E26" s="1180"/>
      <c r="F26" s="258">
        <f>+F22-F25</f>
        <v>0</v>
      </c>
      <c r="G26" s="85"/>
    </row>
    <row r="27" spans="1:60" ht="24" customHeight="1" thickBot="1">
      <c r="A27" s="80">
        <v>328</v>
      </c>
      <c r="B27" s="1179" t="s">
        <v>3424</v>
      </c>
      <c r="C27" s="1179"/>
      <c r="D27" s="1179"/>
      <c r="E27" s="1180"/>
      <c r="F27" s="259">
        <f>+F25+'3Př_a'!F17</f>
        <v>0</v>
      </c>
      <c r="G27" s="85"/>
    </row>
    <row r="28" spans="1:60" ht="24" customHeight="1" thickBot="1">
      <c r="A28" s="80">
        <v>329</v>
      </c>
      <c r="B28" s="1179" t="s">
        <v>3425</v>
      </c>
      <c r="C28" s="1179"/>
      <c r="D28" s="1179"/>
      <c r="E28" s="1180"/>
      <c r="F28" s="259">
        <f>+F26+'3Př_a'!F18</f>
        <v>0</v>
      </c>
      <c r="G28" s="85"/>
    </row>
    <row r="29" spans="1:60" ht="12" customHeight="1" thickBot="1">
      <c r="A29" s="1171"/>
      <c r="B29" s="544"/>
      <c r="C29" s="544"/>
      <c r="D29" s="544"/>
      <c r="E29" s="544"/>
      <c r="F29" s="544"/>
      <c r="G29" s="544"/>
    </row>
    <row r="30" spans="1:60" ht="24" customHeight="1" thickBot="1">
      <c r="A30" s="80">
        <v>330</v>
      </c>
      <c r="B30" s="1192" t="s">
        <v>3625</v>
      </c>
      <c r="C30" s="1179"/>
      <c r="D30" s="1179"/>
      <c r="E30" s="1180"/>
      <c r="F30" s="258">
        <f>+IF(F20+F8+F9=0,0,IF(OR(F20&gt;0,F13=0),'DAP2'!F34-F27,F13-F27))</f>
        <v>0</v>
      </c>
      <c r="G30" s="85"/>
    </row>
    <row r="31" spans="1:60" ht="50.1" customHeight="1">
      <c r="A31" s="720"/>
      <c r="B31" s="542"/>
      <c r="C31" s="542"/>
      <c r="D31" s="542"/>
      <c r="E31" s="542"/>
      <c r="F31" s="542"/>
      <c r="G31" s="542"/>
    </row>
    <row r="32" spans="1:60" ht="15.95" customHeight="1">
      <c r="A32" s="1191" t="str">
        <f>+'DAP1'!A46</f>
        <v>Formulář zpracovala ASPEKT HM, daňová, účetní a auditorská kancelář, www.danovapriznani.cz, business.center.cz</v>
      </c>
      <c r="B32" s="1191"/>
      <c r="C32" s="1191"/>
      <c r="D32" s="1191"/>
      <c r="E32" s="1191"/>
      <c r="F32" s="1191"/>
      <c r="G32" s="1191"/>
    </row>
    <row r="33" spans="1:60" s="157" customFormat="1" ht="12" customHeight="1">
      <c r="A33" s="1188" t="s">
        <v>3722</v>
      </c>
      <c r="B33" s="1188"/>
      <c r="C33" s="1188"/>
      <c r="D33" s="1188"/>
      <c r="E33" s="1188"/>
      <c r="F33" s="1188"/>
      <c r="G33" s="1188"/>
      <c r="H33" s="73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</row>
    <row r="34" spans="1:60">
      <c r="A34" s="1184" t="s">
        <v>3714</v>
      </c>
      <c r="B34" s="1184"/>
      <c r="C34" s="1184"/>
      <c r="D34" s="1184"/>
      <c r="E34" s="1185"/>
      <c r="F34" s="1185"/>
      <c r="G34" s="1185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x8gM+Ta5YteSlGxeoFNvdzumj8STfvP8fsGydkQDew3Eyve8g1sGqJkdRODQvKD0iDjNv/SFIglMqJ0MBWLBKA==" saltValue="bXlDwFLJISQHDHYHGkswFw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 codeName="List16">
    <tabColor rgb="FFFFCCFF"/>
    <pageSetUpPr fitToPage="1"/>
  </sheetPr>
  <dimension ref="A1:BH116"/>
  <sheetViews>
    <sheetView workbookViewId="0">
      <selection activeCell="D1" sqref="D1:F1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1037" t="s">
        <v>3632</v>
      </c>
      <c r="B1" s="502"/>
      <c r="C1" s="502"/>
      <c r="D1" s="1136" t="s">
        <v>36</v>
      </c>
      <c r="E1" s="581"/>
      <c r="F1" s="912"/>
      <c r="G1" s="164" t="str">
        <f>+'2Př'!I1</f>
        <v/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1194" t="s">
        <v>3720</v>
      </c>
      <c r="B2" s="1194"/>
      <c r="C2" s="1194"/>
      <c r="D2" s="1194"/>
      <c r="E2" s="1194"/>
      <c r="F2" s="1194"/>
      <c r="G2" s="112"/>
    </row>
    <row r="3" spans="1:60" ht="36" customHeight="1">
      <c r="A3" s="1012" t="s">
        <v>143</v>
      </c>
      <c r="B3" s="1195"/>
      <c r="C3" s="1195"/>
      <c r="D3" s="1195"/>
      <c r="E3" s="1195"/>
      <c r="F3" s="1195"/>
      <c r="G3" s="1195"/>
    </row>
    <row r="4" spans="1:60" s="104" customFormat="1" ht="24" customHeight="1" thickBot="1">
      <c r="A4" s="1181" t="s">
        <v>3723</v>
      </c>
      <c r="B4" s="1123"/>
      <c r="C4" s="1123"/>
      <c r="D4" s="1123"/>
      <c r="E4" s="1123"/>
      <c r="F4" s="1123"/>
      <c r="G4" s="1123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15" customHeight="1">
      <c r="A5" s="1175"/>
      <c r="B5" s="542"/>
      <c r="C5" s="542"/>
      <c r="D5" s="542"/>
      <c r="E5" s="542"/>
      <c r="F5" s="709" t="s">
        <v>213</v>
      </c>
      <c r="G5" s="1178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6"/>
      <c r="B6" s="1177"/>
      <c r="C6" s="1177"/>
      <c r="D6" s="1177"/>
      <c r="E6" s="1177"/>
      <c r="F6" s="431" t="s">
        <v>132</v>
      </c>
      <c r="G6" s="430" t="s">
        <v>140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38.1" customHeight="1">
      <c r="A7" s="40">
        <v>401</v>
      </c>
      <c r="B7" s="1166" t="s">
        <v>3694</v>
      </c>
      <c r="C7" s="1166"/>
      <c r="D7" s="1166"/>
      <c r="E7" s="1167"/>
      <c r="F7" s="432">
        <v>0</v>
      </c>
      <c r="G7" s="6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48" customHeight="1">
      <c r="A8" s="40" t="s">
        <v>3693</v>
      </c>
      <c r="B8" s="1166" t="s">
        <v>3633</v>
      </c>
      <c r="C8" s="1166"/>
      <c r="D8" s="1166"/>
      <c r="E8" s="1167"/>
      <c r="F8" s="432"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7.95" customHeight="1">
      <c r="A9" s="40">
        <v>402</v>
      </c>
      <c r="B9" s="1166" t="s">
        <v>3634</v>
      </c>
      <c r="C9" s="1166"/>
      <c r="D9" s="1166"/>
      <c r="E9" s="1167"/>
      <c r="F9" s="432"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7.95" customHeight="1">
      <c r="A10" s="40">
        <v>403</v>
      </c>
      <c r="B10" s="1166" t="s">
        <v>3635</v>
      </c>
      <c r="C10" s="1166"/>
      <c r="D10" s="1166"/>
      <c r="E10" s="1167"/>
      <c r="F10" s="432"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27.95" customHeight="1">
      <c r="A11" s="40">
        <v>404</v>
      </c>
      <c r="B11" s="1166" t="s">
        <v>3636</v>
      </c>
      <c r="C11" s="1166"/>
      <c r="D11" s="1166"/>
      <c r="E11" s="1167"/>
      <c r="F11" s="432"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7.95" customHeight="1">
      <c r="A12" s="40">
        <v>405</v>
      </c>
      <c r="B12" s="1166" t="s">
        <v>3637</v>
      </c>
      <c r="C12" s="1166"/>
      <c r="D12" s="1166"/>
      <c r="E12" s="1167"/>
      <c r="F12" s="432"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38.1" customHeight="1">
      <c r="A13" s="40">
        <v>406</v>
      </c>
      <c r="B13" s="1166" t="s">
        <v>3695</v>
      </c>
      <c r="C13" s="1166"/>
      <c r="D13" s="1166"/>
      <c r="E13" s="1167"/>
      <c r="F13" s="432">
        <f>+F7+F8</f>
        <v>0</v>
      </c>
      <c r="G13" s="6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27.95" customHeight="1">
      <c r="A14" s="40">
        <v>407</v>
      </c>
      <c r="B14" s="1166" t="s">
        <v>3638</v>
      </c>
      <c r="C14" s="1166"/>
      <c r="D14" s="1166"/>
      <c r="E14" s="1167"/>
      <c r="F14" s="433">
        <f>+F9-F10</f>
        <v>0</v>
      </c>
      <c r="G14" s="6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s="104" customFormat="1" ht="27.95" customHeight="1">
      <c r="A15" s="40">
        <v>408</v>
      </c>
      <c r="B15" s="1166" t="s">
        <v>3639</v>
      </c>
      <c r="C15" s="1166"/>
      <c r="D15" s="1166"/>
      <c r="E15" s="1167"/>
      <c r="F15" s="433">
        <f>+F11-F12</f>
        <v>0</v>
      </c>
      <c r="G15" s="6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s="104" customFormat="1" ht="27.95" customHeight="1">
      <c r="A16" s="40">
        <v>409</v>
      </c>
      <c r="B16" s="1189" t="s">
        <v>3671</v>
      </c>
      <c r="C16" s="1189"/>
      <c r="D16" s="1189"/>
      <c r="E16" s="1190"/>
      <c r="F16" s="473">
        <f>+FLOOR(F13+F14+F15,100)</f>
        <v>0</v>
      </c>
      <c r="G16" s="6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s="104" customFormat="1" ht="27.95" customHeight="1">
      <c r="A17" s="40">
        <v>410</v>
      </c>
      <c r="B17" s="1193" t="s">
        <v>3672</v>
      </c>
      <c r="C17" s="1189"/>
      <c r="D17" s="1189"/>
      <c r="E17" s="1190"/>
      <c r="F17" s="473">
        <f>+F16*0.15</f>
        <v>0</v>
      </c>
      <c r="G17" s="6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s="104" customFormat="1" ht="27.95" customHeight="1">
      <c r="A18" s="40">
        <v>411</v>
      </c>
      <c r="B18" s="1189" t="s">
        <v>3640</v>
      </c>
      <c r="C18" s="1189"/>
      <c r="D18" s="1189"/>
      <c r="E18" s="1190"/>
      <c r="F18" s="432">
        <v>0</v>
      </c>
      <c r="G18" s="6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s="104" customFormat="1" ht="27.95" customHeight="1">
      <c r="A19" s="40">
        <v>412</v>
      </c>
      <c r="B19" s="1189" t="s">
        <v>3673</v>
      </c>
      <c r="C19" s="1189"/>
      <c r="D19" s="1189"/>
      <c r="E19" s="1190"/>
      <c r="F19" s="432">
        <v>0</v>
      </c>
      <c r="G19" s="6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s="104" customFormat="1" ht="27.95" customHeight="1">
      <c r="A20" s="40">
        <v>413</v>
      </c>
      <c r="B20" s="1189" t="s">
        <v>3674</v>
      </c>
      <c r="C20" s="1189"/>
      <c r="D20" s="1189"/>
      <c r="E20" s="1190"/>
      <c r="F20" s="433">
        <f>+ROUND(MIN(F19,0.15*F18),0)</f>
        <v>0</v>
      </c>
      <c r="G20" s="6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s="104" customFormat="1" ht="27.95" customHeight="1" thickBot="1">
      <c r="A21" s="40">
        <v>414</v>
      </c>
      <c r="B21" s="1189" t="s">
        <v>3675</v>
      </c>
      <c r="C21" s="1189"/>
      <c r="D21" s="1189"/>
      <c r="E21" s="1190"/>
      <c r="F21" s="433">
        <f>+F17-F20</f>
        <v>0</v>
      </c>
      <c r="G21" s="6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ht="170.1" customHeight="1">
      <c r="A22" s="720"/>
      <c r="B22" s="542"/>
      <c r="C22" s="542"/>
      <c r="D22" s="542"/>
      <c r="E22" s="542"/>
      <c r="F22" s="542"/>
      <c r="G22" s="542"/>
    </row>
    <row r="23" spans="1:60" ht="15.95" customHeight="1">
      <c r="A23" s="1191" t="str">
        <f>+'DAP1'!A46</f>
        <v>Formulář zpracovala ASPEKT HM, daňová, účetní a auditorská kancelář, www.danovapriznani.cz, business.center.cz</v>
      </c>
      <c r="B23" s="1191"/>
      <c r="C23" s="1191"/>
      <c r="D23" s="1191"/>
      <c r="E23" s="1191"/>
      <c r="F23" s="1191"/>
      <c r="G23" s="1191"/>
    </row>
    <row r="24" spans="1:60" s="157" customFormat="1" ht="12" customHeight="1">
      <c r="A24" s="1188" t="s">
        <v>3724</v>
      </c>
      <c r="B24" s="1188"/>
      <c r="C24" s="1188"/>
      <c r="D24" s="1188"/>
      <c r="E24" s="1188"/>
      <c r="F24" s="1188"/>
      <c r="G24" s="1188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</row>
    <row r="25" spans="1:60">
      <c r="A25" s="1184" t="s">
        <v>3714</v>
      </c>
      <c r="B25" s="1184"/>
      <c r="C25" s="1184"/>
      <c r="D25" s="1184"/>
      <c r="E25" s="1185"/>
      <c r="F25" s="1185"/>
      <c r="G25" s="1185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</sheetData>
  <sheetProtection algorithmName="SHA-512" hashValue="v9JyyWPFpxsAx1dSEfr8ZLWIewNYJhYN+EO86/zqSi+CcFLLMe1LZA0wo4h/TE0zSOPtEl1HrTKW6KWnlxCjDw==" saltValue="HB2vMWtsUvPVPFg0DQILLw==" spinCount="100000" sheet="1" objects="1" scenarios="1"/>
  <mergeCells count="26"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">
    <tabColor rgb="FFFFCCFF"/>
    <pageSetUpPr fitToPage="1"/>
  </sheetPr>
  <dimension ref="A1:BH114"/>
  <sheetViews>
    <sheetView workbookViewId="0">
      <selection activeCell="A3" sqref="A3:G3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1037"/>
      <c r="B1" s="502"/>
      <c r="C1" s="502"/>
      <c r="D1" s="1136" t="s">
        <v>157</v>
      </c>
      <c r="E1" s="581"/>
      <c r="F1" s="912"/>
      <c r="G1" s="249">
        <v>1</v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1036"/>
      <c r="B2" s="1036"/>
      <c r="C2" s="1036"/>
      <c r="D2" s="1036"/>
      <c r="E2" s="1036"/>
      <c r="F2" s="1036"/>
      <c r="G2" s="112"/>
    </row>
    <row r="3" spans="1:60" ht="36" customHeight="1">
      <c r="A3" s="1196" t="s">
        <v>158</v>
      </c>
      <c r="B3" s="1197"/>
      <c r="C3" s="1197"/>
      <c r="D3" s="1197"/>
      <c r="E3" s="1197"/>
      <c r="F3" s="1197"/>
      <c r="G3" s="1197"/>
    </row>
    <row r="4" spans="1:60" s="104" customFormat="1" ht="18" customHeight="1">
      <c r="A4" s="1198" t="s">
        <v>159</v>
      </c>
      <c r="B4" s="1199"/>
      <c r="C4" s="1199"/>
      <c r="D4" s="1199"/>
      <c r="E4" s="1199"/>
      <c r="F4" s="1199"/>
      <c r="G4" s="1199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ht="18" customHeight="1">
      <c r="A5" s="1200" t="s">
        <v>3535</v>
      </c>
      <c r="B5" s="1201"/>
      <c r="C5" s="1201"/>
      <c r="D5" s="1201"/>
      <c r="E5" s="1201"/>
      <c r="F5" s="1201"/>
      <c r="G5" s="1201"/>
    </row>
    <row r="6" spans="1:60" ht="18" customHeight="1">
      <c r="A6" s="1202" t="s">
        <v>96</v>
      </c>
      <c r="B6" s="1203"/>
      <c r="C6" s="1203"/>
      <c r="D6" s="1203"/>
      <c r="E6" s="1203"/>
      <c r="F6" s="1203"/>
      <c r="G6" s="1203"/>
    </row>
    <row r="7" spans="1:60" ht="18" customHeight="1">
      <c r="A7" s="1205"/>
      <c r="B7" s="1206"/>
      <c r="C7" s="1206"/>
      <c r="D7" s="1206"/>
      <c r="E7" s="1206"/>
      <c r="F7" s="1206"/>
      <c r="G7" s="1206"/>
    </row>
    <row r="8" spans="1:60" ht="24" customHeight="1">
      <c r="A8" s="1171" t="s">
        <v>3534</v>
      </c>
      <c r="B8" s="912"/>
      <c r="C8" s="136"/>
      <c r="D8" s="1172"/>
      <c r="E8" s="544"/>
      <c r="F8" s="544"/>
      <c r="G8" s="544"/>
    </row>
    <row r="9" spans="1:60" ht="8.1" customHeight="1" thickBot="1">
      <c r="A9" s="1173"/>
      <c r="B9" s="1174"/>
      <c r="C9" s="1174"/>
      <c r="D9" s="1174"/>
      <c r="E9" s="1174"/>
      <c r="F9" s="1174"/>
      <c r="G9" s="1174"/>
    </row>
    <row r="10" spans="1:60" ht="15" customHeight="1">
      <c r="A10" s="1212"/>
      <c r="B10" s="542"/>
      <c r="C10" s="542"/>
      <c r="D10" s="542"/>
      <c r="E10" s="1213"/>
      <c r="F10" s="1214" t="s">
        <v>213</v>
      </c>
      <c r="G10" s="1215"/>
    </row>
    <row r="11" spans="1:60" ht="15" customHeight="1">
      <c r="A11" s="1176"/>
      <c r="B11" s="627"/>
      <c r="C11" s="627"/>
      <c r="D11" s="627"/>
      <c r="E11" s="628"/>
      <c r="F11" s="75" t="s">
        <v>132</v>
      </c>
      <c r="G11" s="86" t="s">
        <v>140</v>
      </c>
    </row>
    <row r="12" spans="1:60" ht="24" customHeight="1">
      <c r="A12" s="246">
        <v>321</v>
      </c>
      <c r="B12" s="1182" t="s">
        <v>206</v>
      </c>
      <c r="C12" s="1182"/>
      <c r="D12" s="1182"/>
      <c r="E12" s="1183"/>
      <c r="F12" s="106">
        <v>0</v>
      </c>
      <c r="G12" s="65"/>
    </row>
    <row r="13" spans="1:60" ht="24" customHeight="1">
      <c r="A13" s="246">
        <v>322</v>
      </c>
      <c r="B13" s="1182" t="s">
        <v>207</v>
      </c>
      <c r="C13" s="1182"/>
      <c r="D13" s="1182"/>
      <c r="E13" s="1183"/>
      <c r="F13" s="106">
        <v>0</v>
      </c>
      <c r="G13" s="65"/>
    </row>
    <row r="14" spans="1:60" ht="24" customHeight="1">
      <c r="A14" s="246">
        <v>323</v>
      </c>
      <c r="B14" s="1182" t="s">
        <v>101</v>
      </c>
      <c r="C14" s="1182"/>
      <c r="D14" s="1182"/>
      <c r="E14" s="1183"/>
      <c r="F14" s="106">
        <v>0</v>
      </c>
      <c r="G14" s="65"/>
    </row>
    <row r="15" spans="1:60" ht="24" customHeight="1">
      <c r="A15" s="246">
        <v>324</v>
      </c>
      <c r="B15" s="1182" t="s">
        <v>3628</v>
      </c>
      <c r="C15" s="1182"/>
      <c r="D15" s="1182"/>
      <c r="E15" s="1183"/>
      <c r="F15" s="158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6">
        <v>325</v>
      </c>
      <c r="B16" s="1182" t="s">
        <v>3629</v>
      </c>
      <c r="C16" s="1182"/>
      <c r="D16" s="1182"/>
      <c r="E16" s="1183"/>
      <c r="F16" s="256">
        <f>ROUND((+'DAP2'!F34+'DAP2'!F37)*F15,2)</f>
        <v>0</v>
      </c>
      <c r="G16" s="65"/>
    </row>
    <row r="17" spans="1:60" ht="24" customHeight="1" thickBot="1">
      <c r="A17" s="247">
        <v>326</v>
      </c>
      <c r="B17" s="1186" t="s">
        <v>127</v>
      </c>
      <c r="C17" s="1186"/>
      <c r="D17" s="1186"/>
      <c r="E17" s="1187"/>
      <c r="F17" s="257">
        <f>+MIN(F14,F16)</f>
        <v>0</v>
      </c>
      <c r="G17" s="84"/>
    </row>
    <row r="18" spans="1:60" ht="24" customHeight="1" thickBot="1">
      <c r="A18" s="248">
        <v>327</v>
      </c>
      <c r="B18" s="1210" t="s">
        <v>3536</v>
      </c>
      <c r="C18" s="1210"/>
      <c r="D18" s="1210"/>
      <c r="E18" s="1211"/>
      <c r="F18" s="258">
        <f>+F14-F17</f>
        <v>0</v>
      </c>
      <c r="G18" s="85"/>
    </row>
    <row r="19" spans="1:60" ht="24" customHeight="1">
      <c r="A19" s="1207" t="s">
        <v>3426</v>
      </c>
      <c r="B19" s="1208"/>
      <c r="C19" s="1208"/>
      <c r="D19" s="1208"/>
      <c r="E19" s="1208"/>
      <c r="F19" s="1208"/>
      <c r="G19" s="1208"/>
    </row>
    <row r="20" spans="1:60" ht="330" customHeight="1">
      <c r="A20" s="1209"/>
      <c r="B20" s="502"/>
      <c r="C20" s="502"/>
      <c r="D20" s="502"/>
      <c r="E20" s="502"/>
      <c r="F20" s="502"/>
      <c r="G20" s="502"/>
    </row>
    <row r="21" spans="1:60" ht="15.95" customHeight="1">
      <c r="A21" s="1191" t="str">
        <f>+'DAP1'!A46</f>
        <v>Formulář zpracovala ASPEKT HM, daňová, účetní a auditorská kancelář, www.danovapriznani.cz, business.center.cz</v>
      </c>
      <c r="B21" s="1191"/>
      <c r="C21" s="1191"/>
      <c r="D21" s="1191"/>
      <c r="E21" s="1191"/>
      <c r="F21" s="1191"/>
      <c r="G21" s="1191"/>
    </row>
    <row r="22" spans="1:60" s="157" customFormat="1" ht="12" customHeight="1">
      <c r="A22" s="1188" t="s">
        <v>3627</v>
      </c>
      <c r="B22" s="1204"/>
      <c r="C22" s="1204"/>
      <c r="D22" s="1204"/>
      <c r="E22" s="1204"/>
      <c r="F22" s="1204"/>
      <c r="G22" s="1204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</row>
    <row r="23" spans="1:60">
      <c r="A23" s="1184" t="s">
        <v>3714</v>
      </c>
      <c r="B23" s="1184"/>
      <c r="C23" s="1184"/>
      <c r="D23" s="1184"/>
      <c r="E23" s="1185"/>
      <c r="F23" s="1185"/>
      <c r="G23" s="1185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EEZROjCLglCfx2oyXP4KaaRVW+3sH8iuIIkKuhhZ6felzUbYELsWtb56B3fbiVa8iFuGGiOeqbj2+Veqj71mhg==" saltValue="0w1Q8NJTaXePTOaz2DIC0w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8">
    <tabColor rgb="FFFFCCFF"/>
    <pageSetUpPr fitToPage="1"/>
  </sheetPr>
  <dimension ref="A1:AL61"/>
  <sheetViews>
    <sheetView workbookViewId="0">
      <selection activeCell="B12" sqref="B12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881"/>
      <c r="B1" s="881"/>
      <c r="C1" s="1225" t="s">
        <v>36</v>
      </c>
      <c r="D1" s="1226"/>
      <c r="E1" s="1227"/>
      <c r="F1" s="167" t="str">
        <f>+'2Př'!I1</f>
        <v/>
      </c>
    </row>
    <row r="2" spans="1:38" ht="27.95" customHeight="1">
      <c r="A2" s="881"/>
      <c r="B2" s="881"/>
      <c r="C2" s="881"/>
      <c r="D2" s="881"/>
      <c r="E2" s="881"/>
      <c r="F2" s="881"/>
    </row>
    <row r="3" spans="1:38" ht="27.95" customHeight="1">
      <c r="A3" s="1228" t="s">
        <v>155</v>
      </c>
      <c r="B3" s="1228"/>
      <c r="C3" s="1228"/>
      <c r="D3" s="1228"/>
      <c r="E3" s="1228"/>
      <c r="F3" s="1228"/>
    </row>
    <row r="4" spans="1:38" ht="27.95" customHeight="1" thickBot="1">
      <c r="A4" s="881"/>
      <c r="B4" s="881"/>
      <c r="C4" s="881"/>
      <c r="D4" s="881"/>
      <c r="E4" s="881"/>
      <c r="F4" s="881"/>
    </row>
    <row r="5" spans="1:38" s="162" customFormat="1" ht="18.75" thickBot="1">
      <c r="A5" s="1229" t="s">
        <v>108</v>
      </c>
      <c r="B5" s="1229"/>
      <c r="C5" s="1229"/>
      <c r="D5" s="1229"/>
      <c r="E5" s="1230"/>
      <c r="F5" s="163">
        <f>+'DAP1'!F24</f>
        <v>2024</v>
      </c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</row>
    <row r="6" spans="1:38" ht="18">
      <c r="A6" s="1220" t="s">
        <v>156</v>
      </c>
      <c r="B6" s="1220"/>
      <c r="C6" s="1220"/>
      <c r="D6" s="1220"/>
      <c r="E6" s="1220"/>
      <c r="F6" s="1220"/>
    </row>
    <row r="7" spans="1:38" ht="15">
      <c r="A7" s="1221" t="s">
        <v>42</v>
      </c>
      <c r="B7" s="1221"/>
      <c r="C7" s="1221"/>
      <c r="D7" s="1221"/>
      <c r="E7" s="1221"/>
      <c r="F7" s="1221"/>
    </row>
    <row r="8" spans="1:38" ht="13.5" thickBot="1">
      <c r="A8" s="881"/>
      <c r="B8" s="881"/>
      <c r="C8" s="881"/>
      <c r="D8" s="881"/>
      <c r="E8" s="881"/>
      <c r="F8" s="881"/>
    </row>
    <row r="9" spans="1:38">
      <c r="A9" s="203" t="s">
        <v>149</v>
      </c>
      <c r="B9" s="204" t="s">
        <v>154</v>
      </c>
      <c r="C9" s="204" t="s">
        <v>153</v>
      </c>
      <c r="D9" s="204" t="s">
        <v>152</v>
      </c>
      <c r="E9" s="204" t="s">
        <v>151</v>
      </c>
      <c r="F9" s="205" t="s">
        <v>150</v>
      </c>
    </row>
    <row r="10" spans="1:38" ht="12.75" customHeight="1">
      <c r="A10" s="1222" t="s">
        <v>6</v>
      </c>
      <c r="B10" s="1218" t="s">
        <v>3589</v>
      </c>
      <c r="C10" s="1218" t="s">
        <v>3590</v>
      </c>
      <c r="D10" s="1218" t="s">
        <v>3591</v>
      </c>
      <c r="E10" s="1218" t="s">
        <v>3592</v>
      </c>
      <c r="F10" s="1223" t="s">
        <v>3593</v>
      </c>
    </row>
    <row r="11" spans="1:38" ht="45.75" customHeight="1">
      <c r="A11" s="1222"/>
      <c r="B11" s="1218"/>
      <c r="C11" s="1218"/>
      <c r="D11" s="1219"/>
      <c r="E11" s="1219"/>
      <c r="F11" s="1224"/>
    </row>
    <row r="12" spans="1:38" ht="18" customHeight="1">
      <c r="A12" s="168">
        <v>1</v>
      </c>
      <c r="B12" s="206">
        <v>2023</v>
      </c>
      <c r="C12" s="207">
        <v>0</v>
      </c>
      <c r="D12" s="207">
        <v>0</v>
      </c>
      <c r="E12" s="207">
        <v>0</v>
      </c>
      <c r="F12" s="208">
        <f t="shared" ref="F12:F19" si="0">+C12-D12-E12</f>
        <v>0</v>
      </c>
    </row>
    <row r="13" spans="1:38" ht="18" customHeight="1">
      <c r="A13" s="168">
        <v>2</v>
      </c>
      <c r="B13" s="209"/>
      <c r="C13" s="207"/>
      <c r="D13" s="207"/>
      <c r="E13" s="207"/>
      <c r="F13" s="208">
        <f t="shared" si="0"/>
        <v>0</v>
      </c>
    </row>
    <row r="14" spans="1:38" ht="18" customHeight="1">
      <c r="A14" s="168">
        <v>3</v>
      </c>
      <c r="B14" s="209"/>
      <c r="C14" s="207"/>
      <c r="D14" s="207"/>
      <c r="E14" s="207"/>
      <c r="F14" s="208">
        <f t="shared" si="0"/>
        <v>0</v>
      </c>
    </row>
    <row r="15" spans="1:38" ht="18" customHeight="1">
      <c r="A15" s="168">
        <v>4</v>
      </c>
      <c r="B15" s="209"/>
      <c r="C15" s="207"/>
      <c r="D15" s="207"/>
      <c r="E15" s="207"/>
      <c r="F15" s="208">
        <f t="shared" si="0"/>
        <v>0</v>
      </c>
    </row>
    <row r="16" spans="1:38" ht="18" customHeight="1">
      <c r="A16" s="168">
        <v>5</v>
      </c>
      <c r="B16" s="209"/>
      <c r="C16" s="207"/>
      <c r="D16" s="207"/>
      <c r="E16" s="207"/>
      <c r="F16" s="208">
        <f t="shared" si="0"/>
        <v>0</v>
      </c>
    </row>
    <row r="17" spans="1:6" ht="18" customHeight="1">
      <c r="A17" s="168">
        <v>6</v>
      </c>
      <c r="B17" s="209"/>
      <c r="C17" s="207"/>
      <c r="D17" s="207"/>
      <c r="E17" s="207"/>
      <c r="F17" s="208">
        <f t="shared" si="0"/>
        <v>0</v>
      </c>
    </row>
    <row r="18" spans="1:6" ht="18" customHeight="1">
      <c r="A18" s="168">
        <v>7</v>
      </c>
      <c r="B18" s="209"/>
      <c r="C18" s="207"/>
      <c r="D18" s="207"/>
      <c r="E18" s="207"/>
      <c r="F18" s="208">
        <f t="shared" si="0"/>
        <v>0</v>
      </c>
    </row>
    <row r="19" spans="1:6" ht="18" customHeight="1">
      <c r="A19" s="168">
        <v>8</v>
      </c>
      <c r="B19" s="209"/>
      <c r="C19" s="207"/>
      <c r="D19" s="207"/>
      <c r="E19" s="207"/>
      <c r="F19" s="208">
        <f t="shared" si="0"/>
        <v>0</v>
      </c>
    </row>
    <row r="20" spans="1:6" ht="18" customHeight="1" thickBot="1">
      <c r="A20" s="210">
        <v>9</v>
      </c>
      <c r="B20" s="1216" t="s">
        <v>54</v>
      </c>
      <c r="C20" s="1217"/>
      <c r="D20" s="1217"/>
      <c r="E20" s="211">
        <f>SUM(E12:E19)</f>
        <v>0</v>
      </c>
      <c r="F20" s="212">
        <f>SUM(F12:F19)</f>
        <v>0</v>
      </c>
    </row>
    <row r="21" spans="1:6" ht="24" customHeight="1">
      <c r="A21" s="1231" t="s">
        <v>3594</v>
      </c>
      <c r="B21" s="1231"/>
      <c r="C21" s="1231"/>
      <c r="D21" s="1231"/>
      <c r="E21" s="1231"/>
      <c r="F21" s="1231"/>
    </row>
    <row r="22" spans="1:6" ht="24" customHeight="1">
      <c r="A22" s="881"/>
      <c r="B22" s="881"/>
      <c r="C22" s="881"/>
      <c r="D22" s="881"/>
      <c r="E22" s="881"/>
      <c r="F22" s="881"/>
    </row>
    <row r="23" spans="1:6" ht="24" customHeight="1">
      <c r="A23" s="881"/>
      <c r="B23" s="881"/>
      <c r="C23" s="881"/>
      <c r="D23" s="881"/>
      <c r="E23" s="881"/>
      <c r="F23" s="881"/>
    </row>
    <row r="24" spans="1:6" ht="24" customHeight="1">
      <c r="A24" s="881"/>
      <c r="B24" s="881"/>
      <c r="C24" s="881"/>
      <c r="D24" s="881"/>
      <c r="E24" s="881"/>
      <c r="F24" s="881"/>
    </row>
    <row r="25" spans="1:6" ht="24" customHeight="1">
      <c r="A25" s="881"/>
      <c r="B25" s="881"/>
      <c r="C25" s="881"/>
      <c r="D25" s="881"/>
      <c r="E25" s="881"/>
      <c r="F25" s="881"/>
    </row>
    <row r="26" spans="1:6" ht="24" customHeight="1">
      <c r="A26" s="881"/>
      <c r="B26" s="881"/>
      <c r="C26" s="881"/>
      <c r="D26" s="881"/>
      <c r="E26" s="881"/>
      <c r="F26" s="881"/>
    </row>
    <row r="27" spans="1:6" ht="24" customHeight="1">
      <c r="A27" s="881"/>
      <c r="B27" s="881"/>
      <c r="C27" s="881"/>
      <c r="D27" s="881"/>
      <c r="E27" s="881"/>
      <c r="F27" s="881"/>
    </row>
    <row r="28" spans="1:6" ht="24" customHeight="1">
      <c r="A28" s="881"/>
      <c r="B28" s="881"/>
      <c r="C28" s="881"/>
      <c r="D28" s="881"/>
      <c r="E28" s="881"/>
      <c r="F28" s="881"/>
    </row>
    <row r="29" spans="1:6" ht="24" customHeight="1">
      <c r="A29" s="881"/>
      <c r="B29" s="881"/>
      <c r="C29" s="881"/>
      <c r="D29" s="881"/>
      <c r="E29" s="881"/>
      <c r="F29" s="881"/>
    </row>
    <row r="30" spans="1:6" ht="24" customHeight="1">
      <c r="A30" s="881"/>
      <c r="B30" s="881"/>
      <c r="C30" s="881"/>
      <c r="D30" s="881"/>
      <c r="E30" s="881"/>
      <c r="F30" s="881"/>
    </row>
    <row r="31" spans="1:6" ht="24" customHeight="1">
      <c r="A31" s="881"/>
      <c r="B31" s="881"/>
      <c r="C31" s="881"/>
      <c r="D31" s="881"/>
      <c r="E31" s="881"/>
      <c r="F31" s="881"/>
    </row>
    <row r="32" spans="1:6" ht="24" customHeight="1">
      <c r="A32" s="881"/>
      <c r="B32" s="881"/>
      <c r="C32" s="881"/>
      <c r="D32" s="881"/>
      <c r="E32" s="881"/>
      <c r="F32" s="881"/>
    </row>
    <row r="33" spans="1:6" ht="24" customHeight="1">
      <c r="A33" s="881"/>
      <c r="B33" s="881"/>
      <c r="C33" s="881"/>
      <c r="D33" s="881"/>
      <c r="E33" s="881"/>
      <c r="F33" s="881"/>
    </row>
    <row r="34" spans="1:6">
      <c r="A34" s="1235" t="str">
        <f>+'DAP1'!A46</f>
        <v>Formulář zpracovala ASPEKT HM, daňová, účetní a auditorská kancelář, www.danovapriznani.cz, business.center.cz</v>
      </c>
      <c r="B34" s="1236"/>
      <c r="C34" s="1236"/>
      <c r="D34" s="1236"/>
      <c r="E34" s="1236"/>
      <c r="F34" s="1236"/>
    </row>
    <row r="35" spans="1:6">
      <c r="A35" s="1232" t="s">
        <v>3595</v>
      </c>
      <c r="B35" s="1232"/>
      <c r="C35" s="1232"/>
      <c r="D35" s="1232"/>
      <c r="E35" s="1232"/>
      <c r="F35" s="1232"/>
    </row>
    <row r="36" spans="1:6">
      <c r="A36" s="1233" t="s">
        <v>3714</v>
      </c>
      <c r="B36" s="1234"/>
      <c r="C36" s="1234"/>
      <c r="D36" s="1234"/>
      <c r="E36" s="1234"/>
      <c r="F36" s="1234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lv1Q5e0hfuXZJxaXST7HVDCdsMx7HdRTSvIvv0ZVh87dQDIxrzNpTq4z99xgZy4flAgL3R8Prn40GFzqXvP+Vg==" saltValue="cv3RbgE3kyFrlq4F/raNA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9">
    <tabColor rgb="FFFFCCFF"/>
    <pageSetUpPr fitToPage="1"/>
  </sheetPr>
  <dimension ref="A1:U143"/>
  <sheetViews>
    <sheetView workbookViewId="0">
      <selection activeCell="A3" sqref="A3:F3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225" t="s">
        <v>36</v>
      </c>
      <c r="B1" s="881"/>
      <c r="C1" s="881"/>
      <c r="D1" s="1246"/>
      <c r="E1" s="1244" t="str">
        <f>+'6Př'!F1</f>
        <v/>
      </c>
      <c r="F1" s="1245"/>
    </row>
    <row r="2" spans="1:21">
      <c r="A2" s="881"/>
      <c r="B2" s="881"/>
      <c r="C2" s="881"/>
      <c r="D2" s="881"/>
      <c r="E2" s="881"/>
      <c r="F2" s="881"/>
    </row>
    <row r="3" spans="1:21" s="104" customFormat="1" ht="27.75">
      <c r="A3" s="1247" t="s">
        <v>105</v>
      </c>
      <c r="B3" s="1247"/>
      <c r="C3" s="1247"/>
      <c r="D3" s="1247"/>
      <c r="E3" s="1247"/>
      <c r="F3" s="124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s="104" customFormat="1" ht="18">
      <c r="A4" s="506" t="s">
        <v>43</v>
      </c>
      <c r="B4" s="506"/>
      <c r="C4" s="506"/>
      <c r="D4" s="506"/>
      <c r="E4" s="506"/>
      <c r="F4" s="506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s="104" customFormat="1" ht="18">
      <c r="A5" s="506" t="s">
        <v>3427</v>
      </c>
      <c r="B5" s="506"/>
      <c r="C5" s="506"/>
      <c r="D5" s="506"/>
      <c r="E5" s="506"/>
      <c r="F5" s="506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s="104" customFormat="1" ht="18">
      <c r="A6" s="1239" t="s">
        <v>108</v>
      </c>
      <c r="B6" s="1239"/>
      <c r="C6" s="1239"/>
      <c r="D6" s="1240"/>
      <c r="E6" s="165">
        <f>+'DAP1'!F24</f>
        <v>2024</v>
      </c>
      <c r="F6" s="135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21" ht="13.5" thickBot="1">
      <c r="A7" s="881"/>
      <c r="B7" s="881"/>
      <c r="C7" s="881"/>
      <c r="D7" s="881"/>
      <c r="E7" s="881"/>
      <c r="F7" s="881"/>
    </row>
    <row r="8" spans="1:21" ht="18" customHeight="1">
      <c r="A8" s="213" t="s">
        <v>6</v>
      </c>
      <c r="B8" s="214" t="s">
        <v>44</v>
      </c>
      <c r="C8" s="214" t="s">
        <v>45</v>
      </c>
      <c r="D8" s="214" t="s">
        <v>46</v>
      </c>
      <c r="E8" s="214" t="s">
        <v>47</v>
      </c>
      <c r="F8" s="215" t="s">
        <v>48</v>
      </c>
    </row>
    <row r="9" spans="1:21" ht="18" customHeight="1" thickBot="1">
      <c r="A9" s="216" t="s">
        <v>109</v>
      </c>
      <c r="B9" s="217" t="s">
        <v>3428</v>
      </c>
      <c r="C9" s="217" t="s">
        <v>110</v>
      </c>
      <c r="D9" s="217" t="s">
        <v>111</v>
      </c>
      <c r="E9" s="217" t="s">
        <v>112</v>
      </c>
      <c r="F9" s="218" t="s">
        <v>113</v>
      </c>
    </row>
    <row r="10" spans="1:21" ht="18" customHeight="1">
      <c r="A10" s="219">
        <v>1</v>
      </c>
      <c r="B10" s="220"/>
      <c r="C10" s="221"/>
      <c r="D10" s="221"/>
      <c r="E10" s="221"/>
      <c r="F10" s="222"/>
    </row>
    <row r="11" spans="1:21" ht="18" customHeight="1">
      <c r="A11" s="223"/>
      <c r="B11" s="136"/>
      <c r="C11" s="224"/>
      <c r="D11" s="224"/>
      <c r="E11" s="224"/>
      <c r="F11" s="225"/>
    </row>
    <row r="12" spans="1:21" ht="18" customHeight="1">
      <c r="A12" s="223"/>
      <c r="B12" s="136"/>
      <c r="C12" s="224"/>
      <c r="D12" s="224"/>
      <c r="E12" s="224"/>
      <c r="F12" s="225"/>
    </row>
    <row r="13" spans="1:21" ht="18" customHeight="1">
      <c r="A13" s="223"/>
      <c r="B13" s="136"/>
      <c r="C13" s="224"/>
      <c r="D13" s="224"/>
      <c r="E13" s="224"/>
      <c r="F13" s="225"/>
    </row>
    <row r="14" spans="1:21" ht="18" customHeight="1">
      <c r="A14" s="223"/>
      <c r="B14" s="136"/>
      <c r="C14" s="224"/>
      <c r="D14" s="224"/>
      <c r="E14" s="224"/>
      <c r="F14" s="225"/>
    </row>
    <row r="15" spans="1:21" ht="18" customHeight="1">
      <c r="A15" s="223"/>
      <c r="B15" s="136"/>
      <c r="C15" s="224"/>
      <c r="D15" s="224"/>
      <c r="E15" s="224"/>
      <c r="F15" s="225"/>
    </row>
    <row r="16" spans="1:21" ht="18" customHeight="1">
      <c r="A16" s="223"/>
      <c r="B16" s="136"/>
      <c r="C16" s="224"/>
      <c r="D16" s="224"/>
      <c r="E16" s="224"/>
      <c r="F16" s="225"/>
    </row>
    <row r="17" spans="1:21" ht="18" customHeight="1">
      <c r="A17" s="223"/>
      <c r="B17" s="136"/>
      <c r="C17" s="224"/>
      <c r="D17" s="224"/>
      <c r="E17" s="224"/>
      <c r="F17" s="225"/>
    </row>
    <row r="18" spans="1:21" ht="18" customHeight="1">
      <c r="A18" s="223"/>
      <c r="B18" s="136"/>
      <c r="C18" s="224"/>
      <c r="D18" s="224"/>
      <c r="E18" s="224"/>
      <c r="F18" s="225"/>
    </row>
    <row r="19" spans="1:21" ht="18" customHeight="1">
      <c r="A19" s="223"/>
      <c r="B19" s="136"/>
      <c r="C19" s="224"/>
      <c r="D19" s="224"/>
      <c r="E19" s="224"/>
      <c r="F19" s="225"/>
    </row>
    <row r="20" spans="1:21" ht="18" customHeight="1">
      <c r="A20" s="223"/>
      <c r="B20" s="136"/>
      <c r="C20" s="224"/>
      <c r="D20" s="224"/>
      <c r="E20" s="224"/>
      <c r="F20" s="225"/>
    </row>
    <row r="21" spans="1:21" ht="18" customHeight="1">
      <c r="A21" s="223"/>
      <c r="B21" s="136"/>
      <c r="C21" s="224"/>
      <c r="D21" s="224"/>
      <c r="E21" s="224"/>
      <c r="F21" s="225"/>
    </row>
    <row r="22" spans="1:21" ht="18" customHeight="1">
      <c r="A22" s="223"/>
      <c r="B22" s="136"/>
      <c r="C22" s="224"/>
      <c r="D22" s="224"/>
      <c r="E22" s="224"/>
      <c r="F22" s="225"/>
    </row>
    <row r="23" spans="1:21" ht="18" customHeight="1">
      <c r="A23" s="223"/>
      <c r="B23" s="136"/>
      <c r="C23" s="224"/>
      <c r="D23" s="224"/>
      <c r="E23" s="224"/>
      <c r="F23" s="225"/>
    </row>
    <row r="24" spans="1:21" ht="18" customHeight="1">
      <c r="A24" s="223"/>
      <c r="B24" s="136"/>
      <c r="C24" s="224"/>
      <c r="D24" s="224"/>
      <c r="E24" s="224"/>
      <c r="F24" s="225"/>
    </row>
    <row r="25" spans="1:21" ht="18" customHeight="1" thickBot="1">
      <c r="A25" s="226"/>
      <c r="B25" s="227"/>
      <c r="C25" s="228"/>
      <c r="D25" s="228"/>
      <c r="E25" s="228"/>
      <c r="F25" s="229"/>
    </row>
    <row r="26" spans="1:21">
      <c r="A26" s="1241"/>
      <c r="B26" s="1241"/>
      <c r="C26" s="1241"/>
      <c r="D26" s="1241"/>
      <c r="E26" s="1241"/>
      <c r="F26" s="1241"/>
    </row>
    <row r="27" spans="1:21" s="104" customFormat="1">
      <c r="A27" s="1242" t="s">
        <v>3431</v>
      </c>
      <c r="B27" s="912"/>
      <c r="C27" s="912"/>
      <c r="D27" s="912"/>
      <c r="E27" s="912"/>
      <c r="F27" s="912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s="104" customFormat="1" ht="24" customHeight="1">
      <c r="A28" s="1243" t="s">
        <v>3429</v>
      </c>
      <c r="B28" s="529"/>
      <c r="C28" s="529"/>
      <c r="D28" s="529"/>
      <c r="E28" s="529"/>
      <c r="F28" s="529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s="104" customFormat="1">
      <c r="A29" s="1242" t="s">
        <v>114</v>
      </c>
      <c r="B29" s="912"/>
      <c r="C29" s="912"/>
      <c r="D29" s="912"/>
      <c r="E29" s="912"/>
      <c r="F29" s="912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s="104" customFormat="1" ht="12" customHeight="1">
      <c r="A30" s="1242" t="s">
        <v>115</v>
      </c>
      <c r="B30" s="912"/>
      <c r="C30" s="912"/>
      <c r="D30" s="912"/>
      <c r="E30" s="912"/>
      <c r="F30" s="912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s="104" customFormat="1" ht="24" customHeight="1">
      <c r="A31" s="1243" t="s">
        <v>116</v>
      </c>
      <c r="B31" s="529"/>
      <c r="C31" s="529"/>
      <c r="D31" s="529"/>
      <c r="E31" s="529"/>
      <c r="F31" s="529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s="104" customFormat="1" ht="12.75" customHeight="1">
      <c r="A32" s="1243" t="s">
        <v>3630</v>
      </c>
      <c r="B32" s="529"/>
      <c r="C32" s="529"/>
      <c r="D32" s="529"/>
      <c r="E32" s="529"/>
      <c r="F32" s="529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6">
      <c r="A33" s="73"/>
      <c r="B33" s="73"/>
      <c r="C33" s="73"/>
      <c r="D33" s="73"/>
      <c r="E33" s="73"/>
      <c r="F33" s="73"/>
    </row>
    <row r="34" spans="1:6">
      <c r="A34" s="1235" t="str">
        <f>+'DAP1'!A46</f>
        <v>Formulář zpracovala ASPEKT HM, daňová, účetní a auditorská kancelář, www.danovapriznani.cz, business.center.cz</v>
      </c>
      <c r="B34" s="1237"/>
      <c r="C34" s="1237"/>
      <c r="D34" s="1237"/>
      <c r="E34" s="1237"/>
      <c r="F34" s="1237"/>
    </row>
    <row r="35" spans="1:6">
      <c r="A35" s="1238" t="s">
        <v>3631</v>
      </c>
      <c r="B35" s="1238"/>
      <c r="C35" s="1238"/>
      <c r="D35" s="1238"/>
      <c r="E35" s="1238"/>
      <c r="F35" s="1238"/>
    </row>
    <row r="36" spans="1:6">
      <c r="A36" s="1233" t="s">
        <v>3714</v>
      </c>
      <c r="B36" s="1234"/>
      <c r="C36" s="1234"/>
      <c r="D36" s="1234"/>
      <c r="E36" s="1234"/>
      <c r="F36" s="1234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c9pKMc3m8ylCjrpPD/9gSqAQUdwkWzO3o0s1ZYjufBglc4fSN1knocZX8yzRtpLKQXsKhGVm8YJhDdW4EVt16g==" saltValue="dFbcijyc3edS2rGAPi9sVw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9"/>
  <dimension ref="A1:BC312"/>
  <sheetViews>
    <sheetView topLeftCell="XFD1048576" zoomScale="90" zoomScaleNormal="90" workbookViewId="0">
      <selection activeCell="A58" sqref="A1:XFD1048576"/>
    </sheetView>
  </sheetViews>
  <sheetFormatPr defaultColWidth="0" defaultRowHeight="14.25" customHeight="1" zeroHeight="1"/>
  <cols>
    <col min="1" max="16384" width="6.5703125" hidden="1"/>
  </cols>
  <sheetData>
    <row r="1" spans="1:27" ht="14.25" hidden="1" customHeight="1">
      <c r="A1" s="316" t="s">
        <v>276</v>
      </c>
      <c r="E1" t="s">
        <v>346</v>
      </c>
      <c r="I1" t="s">
        <v>393</v>
      </c>
      <c r="M1" t="s">
        <v>414</v>
      </c>
      <c r="Q1" t="s">
        <v>432</v>
      </c>
      <c r="R1" s="321" t="s">
        <v>3468</v>
      </c>
      <c r="S1" s="321" t="s">
        <v>431</v>
      </c>
      <c r="T1" s="321" t="s">
        <v>433</v>
      </c>
      <c r="U1" s="321" t="s">
        <v>3469</v>
      </c>
      <c r="V1" s="321" t="s">
        <v>3470</v>
      </c>
      <c r="W1" s="321" t="s">
        <v>434</v>
      </c>
      <c r="X1" s="321" t="s">
        <v>435</v>
      </c>
      <c r="Y1" s="261" t="s">
        <v>436</v>
      </c>
      <c r="Z1" s="261" t="s">
        <v>3467</v>
      </c>
      <c r="AA1" s="261" t="s">
        <v>3466</v>
      </c>
    </row>
    <row r="2" spans="1:27" ht="14.25" hidden="1" customHeight="1">
      <c r="A2" s="261" t="s">
        <v>277</v>
      </c>
      <c r="B2" s="317" t="str">
        <f>IF('DAP1'!J19&lt;&gt;"","A",IF('DAP1'!L19&lt;&gt;"","N",""))</f>
        <v>N</v>
      </c>
      <c r="C2" s="268" t="s">
        <v>3349</v>
      </c>
      <c r="E2" s="261" t="s">
        <v>347</v>
      </c>
      <c r="F2" s="317" t="str">
        <f>IF(ZAKL_DATA!B26&lt;&gt;"",ZAKL_DATA!B26,"")</f>
        <v/>
      </c>
      <c r="G2" s="268" t="s">
        <v>3350</v>
      </c>
      <c r="I2" s="261" t="s">
        <v>394</v>
      </c>
      <c r="J2" s="319">
        <f>'6Př'!E20</f>
        <v>0</v>
      </c>
      <c r="M2" s="261" t="s">
        <v>415</v>
      </c>
      <c r="N2" s="319">
        <f>'DAP2'!F34</f>
        <v>0</v>
      </c>
      <c r="O2" s="268" t="s">
        <v>3350</v>
      </c>
      <c r="R2" s="317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17" t="e">
        <f>IF('DAP3'!B17&lt;&gt;"XXX",MID('DAP3'!B17,(FIND(" ",'DAP3'!B17,1))+1,LEN('DAP3'!B17)),"")</f>
        <v>#VALUE!</v>
      </c>
      <c r="T2" s="268" t="str">
        <f>IF('DAP3'!F17&lt;&gt;"",'DAP3'!F17,"")</f>
        <v/>
      </c>
      <c r="U2" s="268" t="str">
        <f>IF('DAP3'!H17&lt;&gt;"",'DAP3'!H17,"")</f>
        <v/>
      </c>
      <c r="V2" t="str">
        <f>IF('DAP3'!J17&lt;&gt;"",'DAP3'!J17,"")</f>
        <v/>
      </c>
      <c r="W2" s="317" t="e">
        <f>IF('DAP3'!B17&lt;&gt;"XXX",LEFT('DAP3'!B17,(FIND(" ",'DAP3'!B17,1))-1),"")</f>
        <v>#VALUE!</v>
      </c>
      <c r="X2" s="262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4.25" hidden="1" customHeight="1">
      <c r="A3" s="261" t="s">
        <v>278</v>
      </c>
      <c r="B3" t="e">
        <f>VLOOKUP(ZAKL_DATA!B13,FU!B3:C17,2,FALSE)</f>
        <v>#N/A</v>
      </c>
      <c r="E3" s="261" t="s">
        <v>348</v>
      </c>
      <c r="I3" s="261" t="s">
        <v>395</v>
      </c>
      <c r="J3" s="319">
        <f>'6Př'!F20</f>
        <v>0</v>
      </c>
      <c r="M3" s="261" t="s">
        <v>416</v>
      </c>
      <c r="N3" s="319">
        <f>'DAP2'!F27</f>
        <v>0</v>
      </c>
      <c r="O3" s="268" t="s">
        <v>3350</v>
      </c>
      <c r="R3" s="262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2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2" t="e">
        <f>IF('DAP3'!B18&lt;&gt;"XXX",LEFT('DAP3'!B18,(FIND(" ",'DAP3'!B18,1))-1),"")</f>
        <v>#VALUE!</v>
      </c>
      <c r="X3" s="262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4.25" hidden="1" customHeight="1">
      <c r="A4" s="261" t="s">
        <v>279</v>
      </c>
      <c r="B4" s="262" t="str">
        <f>IF('DAP1'!K15&lt;&gt;"",TEXT('DAP1'!K15,"DD.MM.RRRR"),"")</f>
        <v/>
      </c>
      <c r="C4" s="324"/>
      <c r="E4" s="261" t="s">
        <v>349</v>
      </c>
      <c r="F4" s="317" t="str">
        <f>IF(ISNUMBER(FIND("/",ZAKL_DATA!B17)),MID(ZAKL_DATA!B17,(FIND("/",ZAKL_DATA!B17,1))+1,LEN(ZAKL_DATA!B17)),"")</f>
        <v/>
      </c>
      <c r="G4" s="268" t="s">
        <v>3350</v>
      </c>
      <c r="I4" s="261" t="s">
        <v>396</v>
      </c>
      <c r="J4" s="319">
        <f>'DAP2'!E6</f>
        <v>0</v>
      </c>
      <c r="K4" s="268" t="s">
        <v>3350</v>
      </c>
      <c r="M4" s="261" t="s">
        <v>417</v>
      </c>
      <c r="N4" s="319">
        <f>'DAP2'!F31</f>
        <v>0</v>
      </c>
      <c r="O4" s="268" t="s">
        <v>3350</v>
      </c>
      <c r="R4" s="262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2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2" t="e">
        <f>IF('DAP3'!B19&lt;&gt;"XXX",LEFT('DAP3'!B19,(FIND(" ",'DAP3'!B19,1))-1),"")</f>
        <v>#VALUE!</v>
      </c>
      <c r="X4" s="262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4.25" hidden="1" customHeight="1">
      <c r="A5" s="261" t="s">
        <v>280</v>
      </c>
      <c r="B5" s="317" t="str">
        <f ca="1">TEXT('DAP4'!A43,"DD.MM.RRRR")</f>
        <v>03.12.2024</v>
      </c>
      <c r="C5" s="268" t="s">
        <v>3350</v>
      </c>
      <c r="E5" s="261" t="s">
        <v>350</v>
      </c>
      <c r="F5" s="317" t="str">
        <f>IF('DAP1'!J29&lt;&gt;"",'DAP1'!J29,"")</f>
        <v/>
      </c>
      <c r="G5" s="268" t="s">
        <v>3350</v>
      </c>
      <c r="I5" s="261" t="s">
        <v>397</v>
      </c>
      <c r="J5" s="319">
        <f>'DAP2'!E5</f>
        <v>0</v>
      </c>
      <c r="K5" s="268" t="s">
        <v>3350</v>
      </c>
      <c r="M5" s="261" t="s">
        <v>418</v>
      </c>
      <c r="N5" s="319">
        <f>'DAP2'!F24</f>
        <v>0</v>
      </c>
      <c r="O5" s="268" t="s">
        <v>3350</v>
      </c>
      <c r="R5" s="262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2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2" t="e">
        <f>IF('DAP3'!B20&lt;&gt;"XXX",LEFT('DAP3'!B20,(FIND(" ",'DAP3'!B20,1))-1),"")</f>
        <v>#VALUE!</v>
      </c>
      <c r="X5" s="262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4.25" hidden="1" customHeight="1">
      <c r="A6" s="261" t="s">
        <v>281</v>
      </c>
      <c r="B6" s="317" t="str">
        <f>IF('DAP1'!K13&gt;0,TEXT('DAP1'!K13,"DD.MM.RRRR"),"")</f>
        <v/>
      </c>
      <c r="C6" s="268" t="s">
        <v>3350</v>
      </c>
      <c r="E6" s="261" t="s">
        <v>351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68" t="s">
        <v>3350</v>
      </c>
      <c r="I6" s="261" t="s">
        <v>398</v>
      </c>
      <c r="K6" s="268" t="s">
        <v>3353</v>
      </c>
      <c r="M6" s="261" t="s">
        <v>419</v>
      </c>
      <c r="N6" s="319">
        <f>'DAP2'!F25</f>
        <v>0</v>
      </c>
      <c r="O6" s="268" t="s">
        <v>3350</v>
      </c>
    </row>
    <row r="7" spans="1:27" ht="14.25" hidden="1" customHeight="1">
      <c r="A7" s="261" t="s">
        <v>282</v>
      </c>
      <c r="B7" s="319">
        <f>'DAP2'!F38</f>
        <v>0</v>
      </c>
      <c r="C7" s="268" t="s">
        <v>3350</v>
      </c>
      <c r="E7" s="261" t="s">
        <v>352</v>
      </c>
      <c r="F7" t="e">
        <f>VLOOKUP(ZAKL_DATA!B14,FU!E3:F204,2,FALSE)</f>
        <v>#N/A</v>
      </c>
      <c r="G7" s="268" t="s">
        <v>3350</v>
      </c>
      <c r="I7" s="261" t="s">
        <v>399</v>
      </c>
      <c r="J7" s="319">
        <f>'DAP2'!E4</f>
        <v>0</v>
      </c>
      <c r="K7" s="268" t="s">
        <v>3350</v>
      </c>
      <c r="M7" s="261" t="s">
        <v>420</v>
      </c>
      <c r="N7" s="319">
        <f>'DAP2'!F26</f>
        <v>0</v>
      </c>
      <c r="O7" s="268" t="s">
        <v>3350</v>
      </c>
      <c r="R7" s="343"/>
      <c r="S7" s="268" t="s">
        <v>3350</v>
      </c>
      <c r="T7" s="268" t="s">
        <v>3350</v>
      </c>
      <c r="U7" s="268" t="s">
        <v>3350</v>
      </c>
      <c r="V7" s="268" t="s">
        <v>3350</v>
      </c>
    </row>
    <row r="8" spans="1:27" ht="14.25" hidden="1" customHeight="1">
      <c r="A8" s="261" t="s">
        <v>283</v>
      </c>
      <c r="B8" s="319">
        <f>'DAP2'!F41</f>
        <v>0</v>
      </c>
      <c r="C8" s="268" t="s">
        <v>3350</v>
      </c>
      <c r="E8" s="261" t="s">
        <v>353</v>
      </c>
      <c r="F8" s="317" t="str">
        <f>IF(ZAKL_DATA!B25&lt;&gt;"",ZAKL_DATA!B25,"")</f>
        <v/>
      </c>
      <c r="G8" t="s">
        <v>3350</v>
      </c>
      <c r="I8" s="261" t="s">
        <v>400</v>
      </c>
      <c r="J8" s="319">
        <f>'DAP2'!E17</f>
        <v>0</v>
      </c>
      <c r="K8" s="268" t="s">
        <v>3350</v>
      </c>
      <c r="M8" s="261" t="s">
        <v>421</v>
      </c>
      <c r="N8" s="319">
        <f>'DAP2'!F22</f>
        <v>0</v>
      </c>
      <c r="O8" s="268" t="s">
        <v>3350</v>
      </c>
    </row>
    <row r="9" spans="1:27" ht="14.25" hidden="1" customHeight="1">
      <c r="A9" s="261" t="s">
        <v>284</v>
      </c>
      <c r="B9" s="319">
        <f>'DAP3'!E12</f>
        <v>0</v>
      </c>
      <c r="C9" s="268" t="s">
        <v>3350</v>
      </c>
      <c r="E9" s="261" t="s">
        <v>354</v>
      </c>
      <c r="F9" s="262" t="str">
        <f>MID(ZAKL_DATA!D2,3,10)</f>
        <v/>
      </c>
      <c r="G9" t="s">
        <v>3350</v>
      </c>
      <c r="I9" s="261" t="s">
        <v>401</v>
      </c>
      <c r="J9" s="319">
        <f>'DAP2'!E8</f>
        <v>0</v>
      </c>
      <c r="K9" s="268" t="s">
        <v>3350</v>
      </c>
      <c r="M9" s="261" t="s">
        <v>422</v>
      </c>
      <c r="N9" s="319">
        <f>'DAP2'!F23</f>
        <v>0</v>
      </c>
      <c r="O9" s="268" t="s">
        <v>3350</v>
      </c>
    </row>
    <row r="10" spans="1:27" ht="14.25" hidden="1" customHeight="1">
      <c r="A10" s="261" t="s">
        <v>285</v>
      </c>
      <c r="B10" s="319">
        <f>'DAP3'!D26</f>
        <v>0</v>
      </c>
      <c r="C10" s="268" t="s">
        <v>3350</v>
      </c>
      <c r="E10" s="261" t="s">
        <v>355</v>
      </c>
      <c r="F10" s="317" t="str">
        <f>IF(ZAKL_DATA!B27&lt;&gt;"",ZAKL_DATA!B27,"")</f>
        <v/>
      </c>
      <c r="G10" t="s">
        <v>3350</v>
      </c>
      <c r="I10" s="261" t="s">
        <v>402</v>
      </c>
      <c r="J10" s="319">
        <f>'DAP2'!E15</f>
        <v>0</v>
      </c>
      <c r="K10" s="268" t="s">
        <v>3350</v>
      </c>
      <c r="M10" s="261" t="s">
        <v>423</v>
      </c>
      <c r="N10" s="319">
        <f>'DAP2'!F28</f>
        <v>0</v>
      </c>
      <c r="O10" s="268" t="s">
        <v>3350</v>
      </c>
    </row>
    <row r="11" spans="1:27" ht="14.25" hidden="1" customHeight="1">
      <c r="A11" s="261" t="s">
        <v>286</v>
      </c>
      <c r="B11" s="320">
        <f>'DAP2'!F36</f>
        <v>0</v>
      </c>
      <c r="C11" s="268" t="s">
        <v>3350</v>
      </c>
      <c r="E11" s="261" t="s">
        <v>356</v>
      </c>
      <c r="F11" s="317" t="str">
        <f>IF(ZAKL_DATA!B4&lt;&gt;"",ZAKL_DATA!B4,"")</f>
        <v/>
      </c>
      <c r="G11" t="s">
        <v>3350</v>
      </c>
      <c r="I11" s="261" t="s">
        <v>403</v>
      </c>
      <c r="J11" s="319">
        <f>'DAP2'!E15</f>
        <v>0</v>
      </c>
      <c r="K11" s="268" t="s">
        <v>3350</v>
      </c>
      <c r="M11" s="261" t="s">
        <v>424</v>
      </c>
      <c r="N11" s="319">
        <f>'DAP2'!F29</f>
        <v>0</v>
      </c>
      <c r="O11" s="268" t="s">
        <v>3350</v>
      </c>
      <c r="X11" s="268"/>
    </row>
    <row r="12" spans="1:27" ht="14.25" hidden="1" customHeight="1">
      <c r="A12" s="261" t="s">
        <v>287</v>
      </c>
      <c r="B12" s="31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68" t="s">
        <v>3350</v>
      </c>
      <c r="E12" s="261" t="s">
        <v>357</v>
      </c>
      <c r="F12" s="262" t="str">
        <f>IF(AND(ZAKL_DATA!B20&lt;&gt;"",ZAKL_DATA!B20&lt;&gt;0),IF(ZAKL_DATA!B20&lt;&gt;"ČESKÁ REPUBLIKA",VLOOKUP(ZAKL_DATA!B20,FU!J3:K253,2,FALSE),"CZ"),"CZ")</f>
        <v>CZ</v>
      </c>
      <c r="G12" t="s">
        <v>3350</v>
      </c>
      <c r="I12" s="261" t="s">
        <v>404</v>
      </c>
      <c r="J12" s="319">
        <f>'DAP2'!E10</f>
        <v>0</v>
      </c>
      <c r="K12" s="268" t="s">
        <v>3350</v>
      </c>
      <c r="M12" s="261" t="s">
        <v>425</v>
      </c>
      <c r="N12" s="319">
        <f>'DAP2'!F29</f>
        <v>0</v>
      </c>
      <c r="O12" s="268" t="s">
        <v>3350</v>
      </c>
    </row>
    <row r="13" spans="1:27" ht="14.25" hidden="1" customHeight="1">
      <c r="A13" s="261" t="s">
        <v>288</v>
      </c>
      <c r="B13" s="331" t="s">
        <v>3646</v>
      </c>
      <c r="C13" s="268" t="s">
        <v>3351</v>
      </c>
      <c r="E13" s="261" t="s">
        <v>358</v>
      </c>
      <c r="I13" s="261" t="s">
        <v>405</v>
      </c>
      <c r="J13" s="319">
        <f>'DAP2'!E19</f>
        <v>0</v>
      </c>
      <c r="K13" s="268" t="s">
        <v>3350</v>
      </c>
      <c r="M13" s="261" t="s">
        <v>426</v>
      </c>
      <c r="N13" s="319">
        <f>'DAP2'!F32</f>
        <v>0</v>
      </c>
      <c r="O13" s="268" t="s">
        <v>3350</v>
      </c>
    </row>
    <row r="14" spans="1:27" ht="14.25" hidden="1" customHeight="1">
      <c r="A14" s="261" t="s">
        <v>289</v>
      </c>
      <c r="B14" s="317" t="str">
        <f>IF(OR('DAP1'!A15="i",'DAP1'!A15="I"),"I",IF(OR('DAP1'!A15="g",'DAP1'!A15="G"),"G",""))</f>
        <v/>
      </c>
      <c r="C14" s="268" t="s">
        <v>3350</v>
      </c>
      <c r="E14" s="261" t="s">
        <v>359</v>
      </c>
      <c r="F14" s="317" t="str">
        <f>IF(ISNUMBER(FIND("/",'DAP1'!J35)),MID('DAP1'!J35,(FIND("/",'DAP1'!J35,1))+1,LEN('DAP1'!J35)),"")</f>
        <v/>
      </c>
      <c r="I14" s="261" t="s">
        <v>406</v>
      </c>
      <c r="J14" s="319">
        <f>'DAP2'!E16</f>
        <v>0</v>
      </c>
      <c r="K14" s="268" t="s">
        <v>3350</v>
      </c>
      <c r="M14" s="261" t="s">
        <v>427</v>
      </c>
      <c r="N14" s="319">
        <f>'DAP2'!F33</f>
        <v>0</v>
      </c>
      <c r="O14" s="268" t="s">
        <v>3350</v>
      </c>
      <c r="Y14" s="342"/>
    </row>
    <row r="15" spans="1:27" ht="14.25" hidden="1" customHeight="1">
      <c r="A15" s="261" t="s">
        <v>290</v>
      </c>
      <c r="B15" s="317" t="s">
        <v>3352</v>
      </c>
      <c r="C15" s="268" t="s">
        <v>3351</v>
      </c>
      <c r="E15" s="261" t="s">
        <v>360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1" t="s">
        <v>407</v>
      </c>
      <c r="J15" s="319">
        <f>'DAP2'!E12</f>
        <v>0</v>
      </c>
      <c r="K15" s="268" t="s">
        <v>3350</v>
      </c>
      <c r="M15" s="261" t="s">
        <v>428</v>
      </c>
      <c r="N15">
        <f>'DAP2'!E29</f>
        <v>0</v>
      </c>
      <c r="O15" s="268" t="s">
        <v>3350</v>
      </c>
    </row>
    <row r="16" spans="1:27" ht="14.25" hidden="1" customHeight="1">
      <c r="A16" s="261" t="s">
        <v>291</v>
      </c>
      <c r="B16">
        <f>'DAP1'!K41</f>
        <v>0</v>
      </c>
      <c r="C16" s="268" t="s">
        <v>3350</v>
      </c>
      <c r="E16" s="261" t="s">
        <v>361</v>
      </c>
      <c r="F16" s="317" t="str">
        <f>IF('DAP1'!B35&lt;&gt;"",'DAP1'!B35,"")</f>
        <v/>
      </c>
      <c r="I16" s="261" t="s">
        <v>408</v>
      </c>
      <c r="J16" s="319">
        <f>'DAP2'!E14</f>
        <v>0</v>
      </c>
      <c r="K16" s="268" t="s">
        <v>3350</v>
      </c>
      <c r="M16" s="261" t="s">
        <v>429</v>
      </c>
      <c r="N16">
        <f>'DAP2'!E23</f>
        <v>0</v>
      </c>
      <c r="O16" s="268" t="s">
        <v>3350</v>
      </c>
    </row>
    <row r="17" spans="1:23" ht="14.25" hidden="1" customHeight="1">
      <c r="A17" s="261" t="s">
        <v>292</v>
      </c>
      <c r="B17" s="319">
        <f>'DAP3'!D29</f>
        <v>0</v>
      </c>
      <c r="C17" s="268" t="s">
        <v>3350</v>
      </c>
      <c r="E17" s="261" t="s">
        <v>362</v>
      </c>
      <c r="F17" s="317" t="str">
        <f>IF('DAP1'!L35&lt;&gt;"",'DAP1'!L35,"")</f>
        <v/>
      </c>
      <c r="I17" s="261" t="s">
        <v>409</v>
      </c>
      <c r="J17" s="319">
        <f>'DAP2'!E10</f>
        <v>0</v>
      </c>
      <c r="K17" s="268" t="s">
        <v>3350</v>
      </c>
      <c r="M17" s="261" t="s">
        <v>430</v>
      </c>
      <c r="N17" s="262">
        <f>'DAP2'!C29</f>
        <v>0</v>
      </c>
      <c r="O17" s="268" t="s">
        <v>3350</v>
      </c>
    </row>
    <row r="18" spans="1:23" ht="14.25" hidden="1" customHeight="1">
      <c r="A18" s="261" t="s">
        <v>293</v>
      </c>
      <c r="B18" s="319">
        <f>'DAP3'!D23</f>
        <v>0</v>
      </c>
      <c r="C18" s="268" t="s">
        <v>3350</v>
      </c>
      <c r="E18" s="261" t="s">
        <v>363</v>
      </c>
      <c r="F18" s="317" t="str">
        <f>IF('DAP1'!G35&lt;&gt;"",'DAP1'!G35,"")</f>
        <v/>
      </c>
      <c r="I18" s="261" t="s">
        <v>410</v>
      </c>
      <c r="J18" s="319">
        <f>'DAP2'!E7</f>
        <v>0</v>
      </c>
      <c r="K18" s="268" t="s">
        <v>3350</v>
      </c>
    </row>
    <row r="19" spans="1:23" ht="14.25" hidden="1" customHeight="1">
      <c r="A19" s="261" t="s">
        <v>294</v>
      </c>
      <c r="B19" s="319">
        <f>'DAP3'!E9</f>
        <v>0</v>
      </c>
      <c r="C19" s="268" t="s">
        <v>3350</v>
      </c>
      <c r="E19" s="261" t="s">
        <v>364</v>
      </c>
      <c r="F19" s="262" t="str">
        <f>IF(ZAKL_DATA!B18&lt;&gt;"",ZAKL_DATA!B18,"")</f>
        <v/>
      </c>
      <c r="G19" t="s">
        <v>3350</v>
      </c>
      <c r="I19" s="261" t="s">
        <v>411</v>
      </c>
      <c r="J19" s="319">
        <f>'DAP2'!E11</f>
        <v>0</v>
      </c>
      <c r="K19" s="268" t="s">
        <v>3350</v>
      </c>
    </row>
    <row r="20" spans="1:23" ht="14.25" hidden="1" customHeight="1">
      <c r="A20" s="261" t="s">
        <v>295</v>
      </c>
      <c r="B20" s="319">
        <f>'DAP2'!F39</f>
        <v>0</v>
      </c>
      <c r="C20" s="268" t="s">
        <v>3350</v>
      </c>
      <c r="E20" s="261" t="s">
        <v>365</v>
      </c>
      <c r="F20" s="262" t="str">
        <f>IF(AND(ZAKL_DATA!D4&lt;&gt;"",ZAKL_DATA!D14&lt;&gt;"",'DAP4'!C30&lt;&gt;"4a",'DAP4'!C30&lt;&gt;"4b"),ZAKL_DATA!D14,"")</f>
        <v/>
      </c>
      <c r="G20" t="s">
        <v>3361</v>
      </c>
      <c r="I20" s="261" t="s">
        <v>412</v>
      </c>
      <c r="J20" s="319">
        <f>'DAP2'!E13</f>
        <v>0</v>
      </c>
      <c r="K20" s="268" t="s">
        <v>3350</v>
      </c>
      <c r="Q20" t="s">
        <v>512</v>
      </c>
      <c r="R20" s="261" t="s">
        <v>490</v>
      </c>
      <c r="S20" s="264" t="s">
        <v>491</v>
      </c>
      <c r="T20" s="264" t="s">
        <v>488</v>
      </c>
      <c r="U20" s="264" t="s">
        <v>492</v>
      </c>
    </row>
    <row r="21" spans="1:23" ht="14.25" hidden="1" customHeight="1">
      <c r="A21" s="261" t="s">
        <v>296</v>
      </c>
      <c r="B21" s="319">
        <f>'DAP3'!D47</f>
        <v>0</v>
      </c>
      <c r="C21" s="268" t="s">
        <v>3350</v>
      </c>
      <c r="E21" s="261" t="s">
        <v>366</v>
      </c>
      <c r="F21" s="262" t="str">
        <f>IF(AND(ZAKL_DATA!D4&lt;&gt;"",ZAKL_DATA!D17&lt;&gt;"",'DAP4'!C30&lt;&gt;"4a",'DAP4'!C30&lt;&gt;"4b"),ZAKL_DATA!D17,"")</f>
        <v/>
      </c>
      <c r="G21" t="s">
        <v>3361</v>
      </c>
      <c r="I21" s="261" t="s">
        <v>413</v>
      </c>
      <c r="J21" s="319">
        <f>'DAP2'!E18</f>
        <v>0</v>
      </c>
      <c r="K21" s="268" t="s">
        <v>3350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19" t="str">
        <f>IF('1Př1'!F32&lt;&gt;0,'1Př1'!F32,"")</f>
        <v/>
      </c>
      <c r="T21" t="str">
        <f>IF(AND('1Př1'!D32&lt;&gt;0,'1Př1'!D32&lt;&gt;""),100*'1Př1'!D32,"")</f>
        <v/>
      </c>
      <c r="U21" s="319" t="str">
        <f>IF(ISNUMBER(W21),'1Př1'!H32,"")</f>
        <v/>
      </c>
      <c r="W21" t="e">
        <f>UPPER(VLOOKUP('1Př1'!A32,FU!N3:O992,2,FALSE))</f>
        <v>#N/A</v>
      </c>
    </row>
    <row r="22" spans="1:23" ht="14.25" hidden="1" customHeight="1">
      <c r="A22" s="261" t="s">
        <v>297</v>
      </c>
      <c r="B22" s="319">
        <f>'DAP3'!E4</f>
        <v>0</v>
      </c>
      <c r="C22" s="268" t="s">
        <v>3350</v>
      </c>
      <c r="E22" s="261" t="s">
        <v>367</v>
      </c>
      <c r="F22" s="262" t="str">
        <f>IF(AND(ZAKL_DATA!D4&lt;&gt;"",ZAKL_DATA!D15&lt;&gt;"",'DAP4'!C30&lt;&gt;"4a",'DAP4'!C30&lt;&gt;"4b"),ZAKL_DATA!D15,"")</f>
        <v/>
      </c>
      <c r="G22" t="s">
        <v>3361</v>
      </c>
      <c r="R22" t="str">
        <f t="shared" si="0"/>
        <v/>
      </c>
      <c r="S22" s="319" t="str">
        <f>IF('1Př1'!F33&lt;&gt;0,'1Př1'!F33,"")</f>
        <v/>
      </c>
      <c r="T22" t="str">
        <f>IF(AND('1Př1'!D33&lt;&gt;0,'1Př1'!D33&lt;&gt;""),100*'1Př1'!D33,"")</f>
        <v/>
      </c>
      <c r="U22" s="319" t="str">
        <f>IF(ISNUMBER(W22),'1Př1'!H33,"")</f>
        <v/>
      </c>
      <c r="W22" t="e">
        <f>UPPER(VLOOKUP('1Př1'!A33,FU!N3:O992,2,FALSE))</f>
        <v>#N/A</v>
      </c>
    </row>
    <row r="23" spans="1:23" ht="14.25" hidden="1" customHeight="1">
      <c r="A23" s="261" t="s">
        <v>298</v>
      </c>
      <c r="B23" s="319">
        <f>'DAP3'!E2</f>
        <v>30840</v>
      </c>
      <c r="C23" s="268" t="s">
        <v>3350</v>
      </c>
      <c r="E23" s="261" t="s">
        <v>368</v>
      </c>
      <c r="F23" s="317" t="str">
        <f>IF(ZAKL_DATA!B5&lt;&gt;"",ZAKL_DATA!B5,"")</f>
        <v/>
      </c>
      <c r="G23" t="s">
        <v>3350</v>
      </c>
      <c r="R23" t="str">
        <f t="shared" si="0"/>
        <v/>
      </c>
      <c r="S23" s="319" t="str">
        <f>IF('1Př1'!F34&lt;&gt;0,'1Př1'!F34,"")</f>
        <v/>
      </c>
      <c r="T23" t="str">
        <f>IF(AND('1Př1'!D34&lt;&gt;0,'1Př1'!D34&lt;&gt;""),100*'1Př1'!D34,"")</f>
        <v/>
      </c>
      <c r="U23" s="319" t="str">
        <f>IF(ISNUMBER(W23),'1Př1'!H34,"")</f>
        <v/>
      </c>
      <c r="W23" t="e">
        <f>UPPER(VLOOKUP('1Př1'!A34,FU!N3:O992,2,FALSE))</f>
        <v>#N/A</v>
      </c>
    </row>
    <row r="24" spans="1:23" ht="14.25" hidden="1" customHeight="1">
      <c r="A24" s="261" t="s">
        <v>299</v>
      </c>
      <c r="B24" s="319">
        <f>'DAP3'!E3</f>
        <v>0</v>
      </c>
      <c r="C24" s="268" t="s">
        <v>3350</v>
      </c>
      <c r="E24" s="261" t="s">
        <v>369</v>
      </c>
      <c r="F24" s="317" t="str">
        <f>IF(ZAKL_DATA!B19&lt;&gt;"",ZAKL_DATA!B19,"")</f>
        <v/>
      </c>
      <c r="G24" t="s">
        <v>3350</v>
      </c>
      <c r="K24" t="e">
        <f>LEN(LEFT('DAP3'!#REF!,(FIND(" ",'DAP3'!#REF!,1))))</f>
        <v>#REF!</v>
      </c>
    </row>
    <row r="25" spans="1:23" ht="14.25" hidden="1" customHeight="1">
      <c r="A25" s="261" t="s">
        <v>300</v>
      </c>
      <c r="B25" s="319">
        <f>'DAP3'!E5</f>
        <v>0</v>
      </c>
      <c r="C25" s="268" t="s">
        <v>3350</v>
      </c>
      <c r="E25" s="261" t="s">
        <v>370</v>
      </c>
      <c r="F25" s="317" t="str">
        <f>IF(ZAKL_DATA!B9&lt;&gt;"",ZAKL_DATA!B9,"")</f>
        <v/>
      </c>
      <c r="G25" t="s">
        <v>3350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3350</v>
      </c>
      <c r="S25" t="s">
        <v>3350</v>
      </c>
      <c r="T25" t="s">
        <v>3350</v>
      </c>
      <c r="U25" t="s">
        <v>3350</v>
      </c>
    </row>
    <row r="26" spans="1:23" ht="14.25" hidden="1" customHeight="1">
      <c r="A26" s="261" t="s">
        <v>301</v>
      </c>
      <c r="B26" s="319">
        <f>'DAP3'!E6</f>
        <v>0</v>
      </c>
      <c r="C26" s="268" t="s">
        <v>3350</v>
      </c>
      <c r="E26" s="261" t="s">
        <v>371</v>
      </c>
      <c r="F26" s="317" t="str">
        <f>IF(ZAKL_DATA!B6&lt;&gt;"",ZAKL_DATA!B6,"")</f>
        <v/>
      </c>
      <c r="G26" t="s">
        <v>3350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4.25" hidden="1" customHeight="1">
      <c r="A27" s="261" t="s">
        <v>302</v>
      </c>
      <c r="B27" s="319">
        <f>'DAP3'!E7</f>
        <v>0</v>
      </c>
      <c r="C27" s="268" t="s">
        <v>3350</v>
      </c>
      <c r="E27" s="261" t="s">
        <v>372</v>
      </c>
      <c r="F27" s="262"/>
      <c r="G27" s="268" t="s">
        <v>3354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4.25" hidden="1" customHeight="1">
      <c r="A28" s="261" t="s">
        <v>303</v>
      </c>
      <c r="B28" s="319">
        <f>'DAP3'!D42</f>
        <v>0</v>
      </c>
      <c r="C28" s="268" t="s">
        <v>3350</v>
      </c>
      <c r="E28" s="261" t="s">
        <v>373</v>
      </c>
      <c r="F28" s="317" t="str">
        <f>IF(AND(ZAKL_DATA!B20&lt;&gt;"ČESKÁ REPUBLIKA",ZAKL_DATA!B20&lt;&gt;""), VLOOKUP(ZAKL_DATA!B20,FU!J3:K253,2,FALSE), "")</f>
        <v/>
      </c>
      <c r="G28" s="268" t="s">
        <v>3350</v>
      </c>
    </row>
    <row r="29" spans="1:23" ht="14.25" hidden="1" customHeight="1">
      <c r="A29" s="261" t="s">
        <v>304</v>
      </c>
      <c r="B29" s="319"/>
      <c r="C29" s="268" t="s">
        <v>3353</v>
      </c>
      <c r="E29" s="261" t="s">
        <v>374</v>
      </c>
      <c r="F29" s="317" t="str">
        <f>IF(ZAKL_DATA!B7&lt;&gt;"",ZAKL_DATA!B7,"")</f>
        <v/>
      </c>
      <c r="G29" s="268" t="s">
        <v>3350</v>
      </c>
    </row>
    <row r="30" spans="1:23" ht="14.25" hidden="1" customHeight="1">
      <c r="A30" s="261" t="s">
        <v>305</v>
      </c>
      <c r="B30" s="319" t="str">
        <f>IF(AND('DAP3'!D33&lt;&gt;"",'DAP3'!D33&lt;&gt;0),'DAP3'!D33,"")</f>
        <v/>
      </c>
      <c r="C30" s="268" t="s">
        <v>3350</v>
      </c>
      <c r="E30" s="261" t="s">
        <v>375</v>
      </c>
      <c r="F30" s="317" t="str">
        <f>IF(ZAKL_DATA!B16&lt;&gt;"",ZAKL_DATA!B16,"")</f>
        <v/>
      </c>
      <c r="G30" s="268" t="s">
        <v>3350</v>
      </c>
      <c r="I30" t="s">
        <v>437</v>
      </c>
      <c r="M30" t="s">
        <v>459</v>
      </c>
    </row>
    <row r="31" spans="1:23" ht="14.25" hidden="1" customHeight="1">
      <c r="A31" s="261" t="s">
        <v>306</v>
      </c>
      <c r="B31" s="319" t="str">
        <f>IF(AND('DAP3'!D36&lt;&gt;"",'DAP3'!D36&lt;&gt;0),'DAP3'!D36,"")</f>
        <v/>
      </c>
      <c r="C31" s="268" t="s">
        <v>3350</v>
      </c>
      <c r="E31" s="261" t="s">
        <v>376</v>
      </c>
      <c r="F31" s="317" t="str">
        <f>IF(ISNUMBER('DAP1'!I39),'DAP1'!I39,"")</f>
        <v/>
      </c>
      <c r="I31" s="261" t="s">
        <v>438</v>
      </c>
      <c r="J31">
        <f>'DAP4'!K25</f>
        <v>0</v>
      </c>
      <c r="K31" t="s">
        <v>3350</v>
      </c>
      <c r="M31" s="261" t="s">
        <v>460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4.25" hidden="1" customHeight="1">
      <c r="A32" s="261" t="s">
        <v>307</v>
      </c>
      <c r="B32" s="319">
        <f>'DAP3'!D31</f>
        <v>0</v>
      </c>
      <c r="C32" s="268" t="s">
        <v>3350</v>
      </c>
      <c r="E32" s="261" t="s">
        <v>377</v>
      </c>
      <c r="I32" s="261" t="s">
        <v>439</v>
      </c>
      <c r="J32">
        <f>'DAP4'!K10</f>
        <v>0</v>
      </c>
      <c r="K32" t="s">
        <v>3350</v>
      </c>
      <c r="M32" s="261" t="s">
        <v>461</v>
      </c>
      <c r="N32" s="319">
        <f>'1Př1'!F35</f>
        <v>0</v>
      </c>
      <c r="O32" s="268" t="s">
        <v>3350</v>
      </c>
    </row>
    <row r="33" spans="1:19" ht="14.25" hidden="1" customHeight="1">
      <c r="A33" s="261" t="s">
        <v>308</v>
      </c>
      <c r="B33" s="319" t="str">
        <f>IF(AND('DAP3'!D35&lt;&gt;"",'DAP3'!D35&lt;&gt;0),'DAP3'!D35,"")</f>
        <v/>
      </c>
      <c r="C33" s="268" t="s">
        <v>3350</v>
      </c>
      <c r="E33" s="261" t="s">
        <v>378</v>
      </c>
      <c r="F33" s="317" t="str">
        <f>IF(ISNUMBER(FIND("/",'DAP1'!L38)),MID('DAP1'!L38,(FIND("/",'DAP1'!L38,1))+1,LEN('DAP1'!L38)),"")</f>
        <v/>
      </c>
      <c r="I33" s="261" t="s">
        <v>440</v>
      </c>
      <c r="J33">
        <f>'DAP4'!K18</f>
        <v>0</v>
      </c>
      <c r="K33" t="s">
        <v>3350</v>
      </c>
      <c r="M33" s="261" t="s">
        <v>462</v>
      </c>
      <c r="N33" s="319">
        <f>'1Př1'!H35</f>
        <v>0</v>
      </c>
      <c r="O33" s="268" t="s">
        <v>3350</v>
      </c>
    </row>
    <row r="34" spans="1:19" ht="14.25" hidden="1" customHeight="1">
      <c r="A34" s="261" t="s">
        <v>309</v>
      </c>
      <c r="B34" s="319" t="str">
        <f>IF(AND('DAP3'!D38&lt;&gt;"",'DAP3'!D38&lt;&gt;0),'DAP3'!D38,"")</f>
        <v/>
      </c>
      <c r="C34" s="268" t="s">
        <v>3350</v>
      </c>
      <c r="E34" s="261" t="s">
        <v>379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1" t="s">
        <v>441</v>
      </c>
      <c r="K34" s="268" t="s">
        <v>3551</v>
      </c>
      <c r="M34" s="261" t="s">
        <v>463</v>
      </c>
      <c r="N34" s="317" t="str">
        <f>IF('1Př2'!F3&lt;&gt;0,TEXT('1Př2'!F3,"DD.MM.RRRR"),"")</f>
        <v/>
      </c>
      <c r="O34" s="268" t="s">
        <v>3350</v>
      </c>
    </row>
    <row r="35" spans="1:19" ht="14.25" hidden="1" customHeight="1">
      <c r="A35" s="261" t="s">
        <v>310</v>
      </c>
      <c r="B35" s="319">
        <f>'DAP3'!D24</f>
        <v>0</v>
      </c>
      <c r="C35" s="268" t="s">
        <v>3350</v>
      </c>
      <c r="E35" s="261" t="s">
        <v>380</v>
      </c>
      <c r="F35" s="317" t="str">
        <f>IF('DAP1'!F39&lt;&gt;"",'DAP1'!F39,"")</f>
        <v/>
      </c>
      <c r="I35" s="261" t="s">
        <v>442</v>
      </c>
      <c r="J35">
        <f>'DAP4'!K19</f>
        <v>0</v>
      </c>
      <c r="K35" t="s">
        <v>3350</v>
      </c>
      <c r="M35" s="261" t="s">
        <v>464</v>
      </c>
      <c r="N35" s="317" t="str">
        <f>IF('1Př2'!C3&lt;&gt;0,TEXT('1Př2'!C3,"DD.MM.RRRR"),"")</f>
        <v/>
      </c>
      <c r="O35" s="268" t="s">
        <v>3350</v>
      </c>
    </row>
    <row r="36" spans="1:19" ht="14.25" hidden="1" customHeight="1">
      <c r="A36" s="261" t="s">
        <v>311</v>
      </c>
      <c r="B36" s="320">
        <f>'DAP2'!F37</f>
        <v>0</v>
      </c>
      <c r="C36" s="268" t="s">
        <v>3350</v>
      </c>
      <c r="E36" s="261" t="s">
        <v>381</v>
      </c>
      <c r="F36" s="317" t="str">
        <f>IF(ISNUMBER(FIND("@",'DAP1'!I39)),'DAP1'!I39,"")</f>
        <v/>
      </c>
      <c r="I36" s="261" t="s">
        <v>443</v>
      </c>
      <c r="J36">
        <f>'DAP4'!K15</f>
        <v>0</v>
      </c>
      <c r="K36" t="s">
        <v>3350</v>
      </c>
      <c r="M36" s="261" t="s">
        <v>465</v>
      </c>
      <c r="N36" s="317" t="str">
        <f>IF('1Př2'!E3&lt;&gt;0,TEXT('1Př2'!E3,"DD.MM.RRRR"),"")</f>
        <v/>
      </c>
      <c r="O36" s="268" t="s">
        <v>3350</v>
      </c>
    </row>
    <row r="37" spans="1:19" ht="14.25" hidden="1" customHeight="1">
      <c r="A37" s="261" t="s">
        <v>312</v>
      </c>
      <c r="B37" s="319">
        <f>'DAP3'!D43</f>
        <v>0</v>
      </c>
      <c r="C37" s="268" t="s">
        <v>3350</v>
      </c>
      <c r="E37" s="261" t="s">
        <v>382</v>
      </c>
      <c r="F37" s="317" t="str">
        <f>IF('DAP1'!B38&lt;&gt;"",'DAP1'!B38,"")</f>
        <v/>
      </c>
      <c r="I37" s="261" t="s">
        <v>444</v>
      </c>
      <c r="J37">
        <f>'DAP4'!K16</f>
        <v>0</v>
      </c>
      <c r="K37" t="s">
        <v>3350</v>
      </c>
      <c r="M37" s="261" t="s">
        <v>466</v>
      </c>
      <c r="N37" s="317" t="str">
        <f>IF('1Př2'!A3&lt;&gt;0,TEXT('1Př2'!A3,"DD.MM.RRRR"),"")</f>
        <v/>
      </c>
      <c r="O37" s="268" t="s">
        <v>3350</v>
      </c>
    </row>
    <row r="38" spans="1:19" ht="14.25" hidden="1" customHeight="1">
      <c r="A38" s="261"/>
      <c r="B38" s="319" t="e">
        <f>IF(#REF!&lt;&gt;"",IF(#REF!&gt;0,"P","Z"),"")</f>
        <v>#REF!</v>
      </c>
      <c r="C38" s="268" t="s">
        <v>3350</v>
      </c>
      <c r="E38" s="261" t="s">
        <v>383</v>
      </c>
      <c r="F38" s="317" t="str">
        <f>IF('DAP1'!B39&lt;&gt;"",'DAP1'!B39,"")</f>
        <v/>
      </c>
      <c r="I38" s="261" t="s">
        <v>445</v>
      </c>
      <c r="J38">
        <f>'DAP4'!K12</f>
        <v>0</v>
      </c>
      <c r="K38" t="s">
        <v>3350</v>
      </c>
      <c r="M38" s="261" t="s">
        <v>467</v>
      </c>
      <c r="N38" s="319">
        <f>'1Př1'!A27</f>
        <v>0</v>
      </c>
      <c r="O38" s="268" t="s">
        <v>3556</v>
      </c>
    </row>
    <row r="39" spans="1:19" ht="14.25" hidden="1" customHeight="1">
      <c r="A39" s="261" t="s">
        <v>314</v>
      </c>
      <c r="B39" s="319">
        <f>'DAP3'!D45</f>
        <v>0</v>
      </c>
      <c r="C39" s="268" t="s">
        <v>3350</v>
      </c>
      <c r="E39" s="261" t="s">
        <v>384</v>
      </c>
      <c r="F39" s="317" t="str">
        <f>IF('DAP1'!G38&lt;&gt;"",'DAP1'!G35,"")</f>
        <v/>
      </c>
      <c r="I39" s="261" t="s">
        <v>446</v>
      </c>
      <c r="K39" s="268" t="s">
        <v>3353</v>
      </c>
      <c r="M39" s="261" t="s">
        <v>468</v>
      </c>
      <c r="N39" s="319">
        <f>'1Př1'!F14</f>
        <v>0</v>
      </c>
      <c r="O39" s="268" t="s">
        <v>3350</v>
      </c>
    </row>
    <row r="40" spans="1:19" ht="14.25" hidden="1" customHeight="1">
      <c r="A40" s="261" t="s">
        <v>315</v>
      </c>
      <c r="B40" s="319">
        <f>'DAP3'!D44</f>
        <v>0</v>
      </c>
      <c r="C40" s="268" t="s">
        <v>3350</v>
      </c>
      <c r="E40" s="261" t="s">
        <v>385</v>
      </c>
      <c r="F40" s="262" t="str">
        <f>IF(AND(LEN('DAP4'!A34)&gt;6,ISNUMBER(SEARCH(".",'DAP4'!A34))),'DAP4'!A34,"")</f>
        <v/>
      </c>
      <c r="G40" s="268" t="s">
        <v>3361</v>
      </c>
      <c r="I40" s="261" t="s">
        <v>447</v>
      </c>
      <c r="J40">
        <f>'DAP4'!K11</f>
        <v>0</v>
      </c>
      <c r="K40" s="268" t="s">
        <v>3350</v>
      </c>
      <c r="M40" s="261" t="s">
        <v>469</v>
      </c>
      <c r="N40" s="319">
        <f>'1Př1'!E27</f>
        <v>0</v>
      </c>
      <c r="O40" s="268" t="s">
        <v>3350</v>
      </c>
      <c r="Q40" t="s">
        <v>489</v>
      </c>
      <c r="R40" s="261" t="s">
        <v>513</v>
      </c>
      <c r="S40" s="264" t="s">
        <v>511</v>
      </c>
    </row>
    <row r="41" spans="1:19" ht="14.25" hidden="1" customHeight="1">
      <c r="A41" s="261" t="s">
        <v>316</v>
      </c>
      <c r="B41" s="319" t="str">
        <f>IF(AND('DAP3'!D44&lt;&gt;"",'DAP3'!D44&lt;&gt;0),'DAP3'!D44,"")</f>
        <v/>
      </c>
      <c r="C41" s="268" t="s">
        <v>3350</v>
      </c>
      <c r="E41" s="261" t="s">
        <v>386</v>
      </c>
      <c r="F41" s="262" t="str">
        <f>IF(AND(LEN('DAP4'!A34)&lt;=4,'DAP4'!A34&lt;&gt;""),'DAP4'!A34,"")</f>
        <v/>
      </c>
      <c r="G41" s="268" t="s">
        <v>3361</v>
      </c>
      <c r="I41" s="261" t="s">
        <v>448</v>
      </c>
      <c r="J41">
        <f>'DAP4'!K20</f>
        <v>0</v>
      </c>
      <c r="K41" s="268" t="s">
        <v>3350</v>
      </c>
      <c r="M41" s="261" t="s">
        <v>470</v>
      </c>
      <c r="N41" s="319">
        <f>'1Př1'!I27</f>
        <v>0</v>
      </c>
      <c r="O41" s="268" t="s">
        <v>3350</v>
      </c>
      <c r="R41" s="319" t="str">
        <f>IF('1Př2'!F20&lt;&gt;"",'1Př2'!F20,"")</f>
        <v/>
      </c>
      <c r="S41" s="262" t="str">
        <f>IF('1Př2'!B20&lt;&gt;"",'1Př2'!B20,"")</f>
        <v/>
      </c>
    </row>
    <row r="42" spans="1:19" ht="14.25" hidden="1" customHeight="1">
      <c r="A42" s="261" t="s">
        <v>317</v>
      </c>
      <c r="B42" s="319">
        <f>'DAP3'!E8</f>
        <v>0</v>
      </c>
      <c r="C42" s="268" t="s">
        <v>3350</v>
      </c>
      <c r="E42" s="261" t="s">
        <v>387</v>
      </c>
      <c r="F42" s="262" t="str">
        <f>IF(AND(LEN('DAP4'!A34)&lt;9,LEN('DAP4'!A34)&gt;5),'DAP4'!A34,"")</f>
        <v/>
      </c>
      <c r="G42" s="268" t="s">
        <v>3361</v>
      </c>
      <c r="I42" s="261" t="s">
        <v>449</v>
      </c>
      <c r="J42">
        <f>'DAP4'!K9</f>
        <v>0</v>
      </c>
      <c r="K42" s="268" t="s">
        <v>3350</v>
      </c>
      <c r="M42" s="261" t="s">
        <v>471</v>
      </c>
      <c r="N42" s="319">
        <f>'1Př1'!F22</f>
        <v>0</v>
      </c>
      <c r="O42" s="268" t="s">
        <v>3350</v>
      </c>
      <c r="R42" s="319" t="str">
        <f>IF('1Př2'!F21&lt;&gt;"",'1Př2'!F21,"")</f>
        <v/>
      </c>
      <c r="S42" s="262" t="str">
        <f>IF('1Př2'!B21&lt;&gt;"",'1Př2'!B21,"")</f>
        <v/>
      </c>
    </row>
    <row r="43" spans="1:19" ht="14.25" hidden="1" customHeight="1">
      <c r="A43" s="261" t="s">
        <v>318</v>
      </c>
      <c r="B43" s="319">
        <f>'DAP3'!D46</f>
        <v>0</v>
      </c>
      <c r="C43" s="268" t="s">
        <v>3350</v>
      </c>
      <c r="E43" s="261" t="s">
        <v>388</v>
      </c>
      <c r="F43" s="262" t="str">
        <f>IF(AND(OR(F40&lt;&gt;"",F41&lt;&gt;""),ZAKL_DATA!D20&lt;&gt;""),ZAKL_DATA!D20,"")</f>
        <v/>
      </c>
      <c r="G43" s="268" t="s">
        <v>3361</v>
      </c>
      <c r="I43" s="261" t="s">
        <v>450</v>
      </c>
      <c r="J43">
        <f>'DAP4'!K13</f>
        <v>0</v>
      </c>
      <c r="K43" s="268" t="s">
        <v>3350</v>
      </c>
      <c r="M43" s="261" t="s">
        <v>472</v>
      </c>
      <c r="N43" s="319">
        <f>'1Př1'!F17</f>
        <v>0</v>
      </c>
      <c r="O43" s="268" t="s">
        <v>3350</v>
      </c>
      <c r="R43" s="319" t="str">
        <f>IF('1Př2'!F22&lt;&gt;"",'1Př2'!F22,"")</f>
        <v/>
      </c>
      <c r="S43" s="262" t="str">
        <f>IF('1Př2'!B22&lt;&gt;"",'1Př2'!B22,"")</f>
        <v/>
      </c>
    </row>
    <row r="44" spans="1:19" ht="14.25" hidden="1" customHeight="1">
      <c r="A44" s="261" t="s">
        <v>319</v>
      </c>
      <c r="B44" s="319">
        <f>'DAP3'!D41</f>
        <v>0</v>
      </c>
      <c r="C44" s="268" t="s">
        <v>3350</v>
      </c>
      <c r="E44" s="261" t="s">
        <v>389</v>
      </c>
      <c r="F44" s="262" t="str">
        <f>IF('DAP4'!C30&lt;&gt;0,'DAP4'!C30,"")</f>
        <v/>
      </c>
      <c r="G44" s="268" t="s">
        <v>3361</v>
      </c>
      <c r="I44" s="261" t="s">
        <v>451</v>
      </c>
      <c r="J44">
        <f>'DAP4'!K6</f>
        <v>0</v>
      </c>
      <c r="K44" s="268" t="s">
        <v>3350</v>
      </c>
      <c r="M44" s="261" t="s">
        <v>473</v>
      </c>
      <c r="N44" s="319">
        <f>'1Př1'!F19</f>
        <v>0</v>
      </c>
      <c r="O44" s="268" t="s">
        <v>3350</v>
      </c>
      <c r="R44" s="319" t="str">
        <f>IF('1Př2'!F23&lt;&gt;"",'1Př2'!F23,"")</f>
        <v/>
      </c>
      <c r="S44" s="262" t="str">
        <f>IF('1Př2'!B23&lt;&gt;"",'1Př2'!B23,"")</f>
        <v/>
      </c>
    </row>
    <row r="45" spans="1:19" ht="14.25" hidden="1" customHeight="1">
      <c r="A45" s="261" t="s">
        <v>320</v>
      </c>
      <c r="B45" s="319">
        <f>'DAP3'!D40</f>
        <v>0</v>
      </c>
      <c r="C45" s="268" t="s">
        <v>3350</v>
      </c>
      <c r="E45" s="261" t="s">
        <v>390</v>
      </c>
      <c r="F45" s="262" t="str">
        <f>'DAP4'!A32</f>
        <v xml:space="preserve">  </v>
      </c>
      <c r="G45" s="268" t="s">
        <v>3361</v>
      </c>
      <c r="I45" s="261" t="s">
        <v>452</v>
      </c>
      <c r="J45">
        <v>0</v>
      </c>
      <c r="K45" s="324" t="s">
        <v>3555</v>
      </c>
      <c r="M45" s="261" t="s">
        <v>474</v>
      </c>
      <c r="N45" s="319">
        <f>'1Př1'!F11</f>
        <v>0</v>
      </c>
      <c r="O45" s="268" t="s">
        <v>3350</v>
      </c>
    </row>
    <row r="46" spans="1:19" ht="14.25" hidden="1" customHeight="1">
      <c r="A46" s="261" t="s">
        <v>321</v>
      </c>
      <c r="B46" s="319">
        <f>'DAP3'!D48</f>
        <v>0</v>
      </c>
      <c r="C46" s="268" t="s">
        <v>3350</v>
      </c>
      <c r="E46" s="261" t="s">
        <v>391</v>
      </c>
      <c r="F46" s="262" t="str">
        <f>IF(AND(OR(F40&lt;&gt;"",F41&lt;&gt;""),ZAKL_DATA!D21&lt;&gt;""),ZAKL_DATA!D21,"")</f>
        <v/>
      </c>
      <c r="G46" s="268" t="s">
        <v>3361</v>
      </c>
      <c r="I46" s="261" t="s">
        <v>453</v>
      </c>
      <c r="J46" t="str">
        <f>IF((ABS('6Př'!E20)+ABS('6Př'!F20))&lt;&gt;0,"1","0")</f>
        <v>0</v>
      </c>
      <c r="M46" s="261" t="s">
        <v>475</v>
      </c>
      <c r="N46" s="319">
        <f>'1Př1'!F16</f>
        <v>0</v>
      </c>
      <c r="O46" s="268" t="s">
        <v>3350</v>
      </c>
      <c r="R46" s="268" t="s">
        <v>3350</v>
      </c>
      <c r="S46" s="268" t="s">
        <v>3350</v>
      </c>
    </row>
    <row r="47" spans="1:19" ht="14.25" hidden="1" customHeight="1">
      <c r="A47" s="261" t="s">
        <v>322</v>
      </c>
      <c r="B47" s="319" t="str">
        <f>IF(AND('DAP3'!D34&lt;&gt;"",'DAP3'!D34&lt;&gt;0),'DAP3'!D34,"")</f>
        <v/>
      </c>
      <c r="C47" s="268" t="s">
        <v>3350</v>
      </c>
      <c r="E47" s="261" t="s">
        <v>392</v>
      </c>
      <c r="F47" s="262" t="str">
        <f>IF(OR('DAP4'!C30="4a",'DAP4'!C30="4b"), "F",IF(OR('DAP4'!C30="4c",'DAP4'!C30="4d"),"P",""))</f>
        <v/>
      </c>
      <c r="G47" s="268" t="s">
        <v>3361</v>
      </c>
      <c r="I47" s="261" t="s">
        <v>454</v>
      </c>
      <c r="J47">
        <f>IF('DAP4'!K26&lt;&gt;"",'DAP4'!K26,"")</f>
        <v>0</v>
      </c>
      <c r="M47" s="261" t="s">
        <v>476</v>
      </c>
      <c r="N47" s="319">
        <f>'1Př1'!F15</f>
        <v>0</v>
      </c>
      <c r="O47" s="268" t="s">
        <v>3350</v>
      </c>
    </row>
    <row r="48" spans="1:19" ht="14.25" hidden="1" customHeight="1">
      <c r="A48" s="261" t="s">
        <v>323</v>
      </c>
      <c r="B48" s="319" t="str">
        <f>IF(AND('DAP3'!D37&lt;&gt;"",'DAP3'!D37&lt;&gt;0),'DAP3'!D37,"")</f>
        <v/>
      </c>
      <c r="C48" s="268" t="s">
        <v>3350</v>
      </c>
      <c r="I48" s="261" t="s">
        <v>455</v>
      </c>
      <c r="J48" s="317">
        <f>'DAP4'!K4</f>
        <v>0</v>
      </c>
      <c r="K48" s="268" t="s">
        <v>3350</v>
      </c>
      <c r="M48" s="261" t="s">
        <v>477</v>
      </c>
      <c r="N48" s="319">
        <f>'1Př1'!F12</f>
        <v>0</v>
      </c>
      <c r="O48" s="268" t="s">
        <v>3350</v>
      </c>
    </row>
    <row r="49" spans="1:22" ht="14.25" hidden="1" customHeight="1">
      <c r="A49" s="261" t="s">
        <v>324</v>
      </c>
      <c r="B49" s="317" t="str">
        <f>IF('DAP1'!F41&lt;&gt;"",'DAP1'!F41,"")</f>
        <v/>
      </c>
      <c r="C49" s="268" t="s">
        <v>3350</v>
      </c>
      <c r="I49" s="261" t="s">
        <v>456</v>
      </c>
      <c r="J49" s="317">
        <f>'DAP4'!K5</f>
        <v>0</v>
      </c>
      <c r="K49" s="268" t="s">
        <v>3350</v>
      </c>
      <c r="M49" s="261" t="s">
        <v>478</v>
      </c>
      <c r="N49" s="319">
        <f>'1Př1'!F18</f>
        <v>0</v>
      </c>
      <c r="O49" s="268" t="s">
        <v>3350</v>
      </c>
    </row>
    <row r="50" spans="1:22" ht="14.25" hidden="1" customHeight="1">
      <c r="A50" s="261" t="s">
        <v>325</v>
      </c>
      <c r="B50">
        <f>'DAP3'!D5</f>
        <v>0</v>
      </c>
      <c r="C50" s="268" t="s">
        <v>3350</v>
      </c>
      <c r="E50" s="261" t="s">
        <v>3550</v>
      </c>
      <c r="F50" s="262" t="e">
        <f>IF(#REF!&lt;&gt;"",IF(#REF!&gt;0,"P","Z"),"")</f>
        <v>#REF!</v>
      </c>
      <c r="I50" s="261" t="s">
        <v>457</v>
      </c>
      <c r="J50">
        <f>'DAP4'!K22</f>
        <v>0</v>
      </c>
      <c r="K50" s="268" t="s">
        <v>3350</v>
      </c>
      <c r="M50" s="261" t="s">
        <v>479</v>
      </c>
      <c r="N50" s="319">
        <f>'1Př1'!F20</f>
        <v>0</v>
      </c>
      <c r="O50" s="268" t="s">
        <v>3350</v>
      </c>
      <c r="Q50" t="s">
        <v>515</v>
      </c>
      <c r="R50" s="261" t="s">
        <v>516</v>
      </c>
      <c r="S50" s="264" t="s">
        <v>514</v>
      </c>
    </row>
    <row r="51" spans="1:22" ht="14.25" hidden="1" customHeight="1">
      <c r="A51" s="261" t="s">
        <v>3461</v>
      </c>
      <c r="B51">
        <f>'DAP3'!F21</f>
        <v>0</v>
      </c>
      <c r="C51" s="268" t="s">
        <v>3350</v>
      </c>
      <c r="E51" s="261" t="s">
        <v>3550</v>
      </c>
      <c r="F51" s="262" t="e">
        <f>IF(#REF!&lt;&gt;"",IF(#REF!&gt;0,"P","Z"),"")</f>
        <v>#REF!</v>
      </c>
      <c r="I51" s="261" t="s">
        <v>458</v>
      </c>
      <c r="J51">
        <f>'DAP4'!K21</f>
        <v>0</v>
      </c>
      <c r="K51" s="268" t="s">
        <v>3350</v>
      </c>
      <c r="M51" s="261" t="s">
        <v>480</v>
      </c>
      <c r="N51" s="319">
        <f>'1Př1'!F23</f>
        <v>0</v>
      </c>
      <c r="O51" s="268" t="s">
        <v>3350</v>
      </c>
      <c r="R51" t="str">
        <f>IF('1Př2'!F26&lt;&gt;"",'1Př2'!F26,"")</f>
        <v/>
      </c>
      <c r="S51" s="317" t="str">
        <f>IF('1Př2'!B26&lt;&gt;"",'1Př2'!B26,"")</f>
        <v/>
      </c>
    </row>
    <row r="52" spans="1:22" ht="14.25" hidden="1" customHeight="1">
      <c r="A52" s="261" t="s">
        <v>3462</v>
      </c>
      <c r="B52">
        <f>'DAP3'!G21</f>
        <v>0</v>
      </c>
      <c r="C52" s="268" t="s">
        <v>3350</v>
      </c>
      <c r="E52" s="261" t="s">
        <v>3550</v>
      </c>
      <c r="F52" s="262" t="e">
        <f>IF(#REF!&lt;&gt;"",IF(#REF!&gt;0,"P","Z"),"")</f>
        <v>#REF!</v>
      </c>
      <c r="I52" s="261" t="s">
        <v>3471</v>
      </c>
      <c r="J52" t="str">
        <f>IF('DAP4'!K17&lt;&gt;"",'DAP4'!K17,"")</f>
        <v/>
      </c>
      <c r="K52" s="332"/>
      <c r="M52" s="261" t="s">
        <v>481</v>
      </c>
      <c r="N52" s="319" t="e">
        <f>'1Př1'!#REF!</f>
        <v>#REF!</v>
      </c>
      <c r="O52" s="268" t="s">
        <v>3350</v>
      </c>
      <c r="R52" t="str">
        <f>IF('1Př2'!F27&lt;&gt;"",'1Př2'!F27,"")</f>
        <v/>
      </c>
      <c r="S52" s="262" t="str">
        <f>IF('1Př2'!B27&lt;&gt;"",'1Př2'!B27,"")</f>
        <v/>
      </c>
    </row>
    <row r="53" spans="1:22" ht="14.25" hidden="1" customHeight="1">
      <c r="A53" s="261" t="s">
        <v>326</v>
      </c>
      <c r="B53">
        <f>'DAP3'!D6</f>
        <v>0</v>
      </c>
      <c r="C53" s="268" t="s">
        <v>3350</v>
      </c>
      <c r="I53" s="261" t="s">
        <v>3651</v>
      </c>
      <c r="J53">
        <f>'DAP4'!K24</f>
        <v>0</v>
      </c>
      <c r="M53" s="261" t="s">
        <v>482</v>
      </c>
      <c r="N53">
        <f>'1Př2'!G3</f>
        <v>12</v>
      </c>
      <c r="O53" s="268" t="s">
        <v>3350</v>
      </c>
      <c r="R53" t="str">
        <f>IF('1Př2'!F28&lt;&gt;"",'1Př2'!F28,"")</f>
        <v/>
      </c>
      <c r="S53" s="262" t="str">
        <f>IF('1Př2'!B28&lt;&gt;"",'1Př2'!B28,"")</f>
        <v/>
      </c>
    </row>
    <row r="54" spans="1:22" ht="14.25" hidden="1" customHeight="1">
      <c r="A54" s="261" t="s">
        <v>327</v>
      </c>
      <c r="B54">
        <f>'DAP3'!D4</f>
        <v>0</v>
      </c>
      <c r="C54" s="268" t="s">
        <v>3350</v>
      </c>
      <c r="I54" s="261" t="s">
        <v>3652</v>
      </c>
      <c r="J54">
        <f>'DAP4'!K7</f>
        <v>0</v>
      </c>
      <c r="M54" s="261" t="s">
        <v>483</v>
      </c>
      <c r="N54" s="319">
        <f>'1Př1'!F30</f>
        <v>0</v>
      </c>
      <c r="O54" s="268" t="s">
        <v>3350</v>
      </c>
      <c r="R54" t="str">
        <f>IF('1Př2'!F29&lt;&gt;"",'1Př2'!F29,"")</f>
        <v/>
      </c>
      <c r="S54" s="262" t="str">
        <f>IF('1Př2'!B29&lt;&gt;"",'1Př2'!B29,"")</f>
        <v/>
      </c>
    </row>
    <row r="55" spans="1:22" ht="14.25" hidden="1" customHeight="1">
      <c r="A55" s="261" t="s">
        <v>328</v>
      </c>
      <c r="B55">
        <f>'DAP3'!D8</f>
        <v>0</v>
      </c>
      <c r="C55" s="268" t="s">
        <v>3350</v>
      </c>
      <c r="I55" s="261"/>
      <c r="M55" s="261" t="s">
        <v>484</v>
      </c>
      <c r="N55" s="323" t="str">
        <f>IF(AND('1Př1'!E30*100&lt;&gt;0,'1Př1'!E30&lt;&gt;""),'1Př1'!E30*100,"")</f>
        <v/>
      </c>
      <c r="O55" s="268" t="s">
        <v>3350</v>
      </c>
    </row>
    <row r="56" spans="1:22" ht="14.25" hidden="1" customHeight="1">
      <c r="A56" s="261" t="s">
        <v>329</v>
      </c>
      <c r="B56">
        <f>'DAP3'!D3</f>
        <v>0</v>
      </c>
      <c r="C56" s="268" t="s">
        <v>3350</v>
      </c>
      <c r="M56" s="261" t="s">
        <v>485</v>
      </c>
      <c r="N56" s="319">
        <f>'1Př1'!H30</f>
        <v>0</v>
      </c>
      <c r="O56" s="268" t="s">
        <v>3350</v>
      </c>
      <c r="R56" s="268" t="s">
        <v>3350</v>
      </c>
      <c r="S56" s="268" t="s">
        <v>3350</v>
      </c>
    </row>
    <row r="57" spans="1:22" ht="14.25" hidden="1" customHeight="1">
      <c r="A57" s="261" t="s">
        <v>330</v>
      </c>
      <c r="B57">
        <f>'DAP3'!D7</f>
        <v>0</v>
      </c>
      <c r="C57" s="268" t="s">
        <v>3350</v>
      </c>
      <c r="M57" s="261" t="s">
        <v>486</v>
      </c>
      <c r="N57" s="317">
        <f>IF(AND('1Př1'!C8&lt;&gt;"",'1Př1'!G8=""),1,IF(AND('1Př1'!C8="",'1Př1'!G8&lt;&gt;""),2,""))</f>
        <v>1</v>
      </c>
      <c r="O57" s="268" t="s">
        <v>3350</v>
      </c>
    </row>
    <row r="58" spans="1:22" ht="14.25" hidden="1" customHeight="1">
      <c r="A58" s="261" t="s">
        <v>331</v>
      </c>
      <c r="B58" s="268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68" t="s">
        <v>3350</v>
      </c>
      <c r="M58" s="261" t="s">
        <v>487</v>
      </c>
      <c r="N58" s="317" t="str">
        <f>IF('1Př1'!K8&lt;&gt;"","A","N")</f>
        <v>N</v>
      </c>
    </row>
    <row r="59" spans="1:22" ht="14.25" hidden="1" customHeight="1">
      <c r="A59" s="261" t="s">
        <v>332</v>
      </c>
      <c r="B59" s="268" t="str">
        <f>IF(ISNUMBER(FIND(" ",'DAP2'!C45)),LEFT('DAP2'!C45,(FIND(" ",'DAP2'!C45,1))-1),"")</f>
        <v/>
      </c>
      <c r="C59" s="268" t="s">
        <v>3350</v>
      </c>
      <c r="M59" s="261" t="s">
        <v>3570</v>
      </c>
      <c r="N59" s="262" t="e">
        <f>IF('1Př1'!#REF!&lt;&gt;"","A","N")</f>
        <v>#REF!</v>
      </c>
    </row>
    <row r="60" spans="1:22" ht="14.25" hidden="1" customHeight="1">
      <c r="A60" s="261" t="s">
        <v>333</v>
      </c>
      <c r="B60" s="268" t="str">
        <f>IF('DAP2'!H45&lt;&gt;"",'DAP2'!H45,"")</f>
        <v/>
      </c>
      <c r="C60" s="268" t="s">
        <v>3350</v>
      </c>
      <c r="E60" t="s">
        <v>493</v>
      </c>
      <c r="I60" t="s">
        <v>530</v>
      </c>
      <c r="N60" t="str">
        <f>IF(OR(N57="2",N58="A"),"A","N")</f>
        <v>N</v>
      </c>
      <c r="Q60" t="s">
        <v>518</v>
      </c>
      <c r="R60" s="261" t="s">
        <v>517</v>
      </c>
      <c r="S60" s="264" t="s">
        <v>519</v>
      </c>
      <c r="T60" s="264" t="s">
        <v>520</v>
      </c>
      <c r="U60" s="264" t="s">
        <v>521</v>
      </c>
      <c r="V60" s="264" t="s">
        <v>522</v>
      </c>
    </row>
    <row r="61" spans="1:22" ht="14.25" hidden="1" customHeight="1">
      <c r="A61" s="261" t="s">
        <v>334</v>
      </c>
      <c r="B61" s="268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68" t="s">
        <v>3350</v>
      </c>
      <c r="E61" s="261" t="s">
        <v>494</v>
      </c>
      <c r="F61" s="319">
        <f>IF(OR(N57=2,N58="A"),"",'1Př2'!F7)</f>
        <v>0</v>
      </c>
      <c r="G61" t="s">
        <v>3350</v>
      </c>
      <c r="I61" s="261" t="s">
        <v>537</v>
      </c>
      <c r="J61" s="319">
        <f>'2Př'!G11</f>
        <v>0</v>
      </c>
      <c r="K61" s="268" t="s">
        <v>3350</v>
      </c>
      <c r="R61" s="317" t="str">
        <f>IF('1Př2'!E33&lt;&gt;"",MID('1Př2'!E33,3,LEN('1Př2'!E33)-2),"")</f>
        <v/>
      </c>
      <c r="S61" s="317" t="str">
        <f>IF('1Př2'!B33&lt;&gt;"",'1Př2'!B33,"")</f>
        <v/>
      </c>
      <c r="T61" s="262" t="str">
        <f>IF('1Př2'!F33&lt;&gt;"",'1Př2'!F33*100,"")</f>
        <v/>
      </c>
      <c r="U61" t="str">
        <f>IF('1Př2'!G33&lt;&gt;"",'1Př2'!G33*100,"")</f>
        <v/>
      </c>
      <c r="V61" s="317" t="str">
        <f>IF('1Př2'!C33&lt;&gt;"",'1Př2'!C33,"")</f>
        <v/>
      </c>
    </row>
    <row r="62" spans="1:22" ht="14.25" hidden="1" customHeight="1">
      <c r="A62" s="261" t="s">
        <v>335</v>
      </c>
      <c r="B62" s="317" t="str">
        <f>IF(AND('DAP1'!J17&lt;&gt;"",'DAP1'!L17=""),"A",IF(AND('DAP1'!J17="",'DAP1'!L17&lt;&gt;""),"N",""))</f>
        <v>N</v>
      </c>
      <c r="C62" s="268" t="s">
        <v>3350</v>
      </c>
      <c r="E62" s="261" t="s">
        <v>495</v>
      </c>
      <c r="F62" s="319">
        <f>IF(OR(N57=2,N58="A"),"",'1Př2'!F10)</f>
        <v>0</v>
      </c>
      <c r="G62" t="s">
        <v>3350</v>
      </c>
      <c r="I62" s="261" t="s">
        <v>538</v>
      </c>
      <c r="J62" s="319">
        <f>'2Př'!G33</f>
        <v>0</v>
      </c>
      <c r="K62" s="268" t="s">
        <v>3350</v>
      </c>
      <c r="R62" s="262" t="str">
        <f>IF('1Př2'!E34&lt;&gt;"",MID('1Př2'!E34,3,LEN('1Př2'!E34)-2),"")</f>
        <v/>
      </c>
      <c r="S62" s="262" t="str">
        <f>IF('1Př2'!B34&lt;&gt;"",'1Př2'!B34,"")</f>
        <v/>
      </c>
      <c r="T62" s="262" t="str">
        <f>IF('1Př2'!F34&lt;&gt;"",'1Př2'!F34*100,"")</f>
        <v/>
      </c>
      <c r="U62" t="str">
        <f>IF('1Př2'!G34&lt;&gt;"",'1Př2'!G34*100,"")</f>
        <v/>
      </c>
      <c r="V62" s="262" t="str">
        <f>IF('1Př2'!C34&lt;&gt;"",'1Př2'!C34,"")</f>
        <v/>
      </c>
    </row>
    <row r="63" spans="1:22" ht="14.25" hidden="1" customHeight="1">
      <c r="A63" s="261" t="s">
        <v>336</v>
      </c>
      <c r="B63" s="317" t="str">
        <f>IF(AND('DAP1'!F43&lt;&gt;"",'DAP1'!H43=""),"A",IF(AND('DAP1'!F43="",'DAP1'!H43&lt;&gt;""),"N",""))</f>
        <v>N</v>
      </c>
      <c r="C63" s="268" t="s">
        <v>3350</v>
      </c>
      <c r="E63" s="261" t="s">
        <v>496</v>
      </c>
      <c r="F63" s="319">
        <f>IF(OR(N57=2,N58="A"),"",'1Př2'!F11)</f>
        <v>0</v>
      </c>
      <c r="G63" t="s">
        <v>3350</v>
      </c>
      <c r="I63" s="261" t="s">
        <v>539</v>
      </c>
      <c r="J63" s="319">
        <f>'2Př'!G10</f>
        <v>0</v>
      </c>
      <c r="K63" s="268" t="s">
        <v>3350</v>
      </c>
      <c r="R63" s="262" t="str">
        <f>IF('1Př2'!E35&lt;&gt;"",MID('1Př2'!E35,3,LEN('1Př2'!E35)-2),"")</f>
        <v/>
      </c>
      <c r="S63" s="262" t="str">
        <f>IF('1Př2'!B35&lt;&gt;"",'1Př2'!B35,"")</f>
        <v/>
      </c>
      <c r="T63" s="262" t="str">
        <f>IF('1Př2'!F35&lt;&gt;"",'1Př2'!F35*100,"")</f>
        <v/>
      </c>
      <c r="U63" t="str">
        <f>IF('1Př2'!G35&lt;&gt;"",'1Př2'!G35*100,"")</f>
        <v/>
      </c>
      <c r="V63" s="262" t="str">
        <f>IF('1Př2'!C35&lt;&gt;"",'1Př2'!C35,"")</f>
        <v/>
      </c>
    </row>
    <row r="64" spans="1:22" ht="14.25" hidden="1" customHeight="1">
      <c r="A64" s="261" t="s">
        <v>337</v>
      </c>
      <c r="B64">
        <f>'DAP1'!F24</f>
        <v>2024</v>
      </c>
      <c r="C64" s="268" t="s">
        <v>3350</v>
      </c>
      <c r="E64" s="261" t="s">
        <v>497</v>
      </c>
      <c r="F64" s="319">
        <f>IF(OR(N57=2,N58="A"),"",'1Př2'!F8)</f>
        <v>0</v>
      </c>
      <c r="G64" t="s">
        <v>3350</v>
      </c>
      <c r="I64" s="261" t="s">
        <v>540</v>
      </c>
      <c r="J64" s="319">
        <f>'2Př'!H18</f>
        <v>0</v>
      </c>
      <c r="K64" s="268" t="s">
        <v>3350</v>
      </c>
    </row>
    <row r="65" spans="1:22" ht="14.25" hidden="1" customHeight="1">
      <c r="A65" s="261" t="s">
        <v>338</v>
      </c>
      <c r="B65" s="319">
        <f>'DAP2'!F43</f>
        <v>0</v>
      </c>
      <c r="C65" s="268" t="s">
        <v>3350</v>
      </c>
      <c r="E65" s="261" t="s">
        <v>498</v>
      </c>
      <c r="F65" s="319">
        <f>IF(OR(N57=2,N58="A"),"",'1Př2'!F9)</f>
        <v>0</v>
      </c>
      <c r="G65" t="s">
        <v>3350</v>
      </c>
      <c r="I65" s="261" t="s">
        <v>541</v>
      </c>
      <c r="J65" s="319">
        <f>'2Př'!C18</f>
        <v>0</v>
      </c>
      <c r="K65" s="268" t="s">
        <v>3350</v>
      </c>
      <c r="R65" s="268" t="s">
        <v>3350</v>
      </c>
      <c r="S65" s="268" t="s">
        <v>3350</v>
      </c>
      <c r="T65" s="268" t="s">
        <v>3350</v>
      </c>
      <c r="U65" s="268" t="s">
        <v>3350</v>
      </c>
      <c r="V65" s="268" t="s">
        <v>3350</v>
      </c>
    </row>
    <row r="66" spans="1:22" ht="14.25" hidden="1" customHeight="1">
      <c r="A66" s="261" t="s">
        <v>339</v>
      </c>
      <c r="B66" s="262"/>
      <c r="C66" s="268" t="s">
        <v>3353</v>
      </c>
      <c r="E66" s="261" t="s">
        <v>499</v>
      </c>
      <c r="F66" s="319">
        <f>IF(OR(N57=2,N58="A"),"",'1Př2'!F12)</f>
        <v>0</v>
      </c>
      <c r="G66" t="s">
        <v>3350</v>
      </c>
      <c r="I66" s="261" t="s">
        <v>542</v>
      </c>
      <c r="J66" s="319">
        <f>'2Př'!G13</f>
        <v>0</v>
      </c>
      <c r="K66" s="268" t="s">
        <v>3350</v>
      </c>
    </row>
    <row r="67" spans="1:22" ht="14.25" hidden="1" customHeight="1">
      <c r="A67" s="261" t="s">
        <v>340</v>
      </c>
      <c r="B67" s="319">
        <f>'DAP3'!E11</f>
        <v>30840</v>
      </c>
      <c r="E67" s="261" t="s">
        <v>500</v>
      </c>
      <c r="F67" s="319">
        <f>IF(OR(N57=2,N58="A"),"",'1Př2'!F13)</f>
        <v>0</v>
      </c>
      <c r="G67" t="s">
        <v>3350</v>
      </c>
      <c r="I67" s="261" t="s">
        <v>543</v>
      </c>
      <c r="J67" s="319">
        <f>'2Př'!G15</f>
        <v>0</v>
      </c>
      <c r="K67" s="268" t="s">
        <v>3350</v>
      </c>
    </row>
    <row r="68" spans="1:22" ht="14.25" hidden="1" customHeight="1">
      <c r="A68" s="261" t="s">
        <v>341</v>
      </c>
      <c r="B68" s="317" t="str">
        <f>IF(CONCATENATE('DAP1'!J28,'DAP1'!B28)&lt;&gt;"00",CONCATENATE('DAP1'!J28," ",'DAP1'!B28),"")</f>
        <v/>
      </c>
      <c r="C68" s="324" t="s">
        <v>3350</v>
      </c>
      <c r="E68" s="261" t="s">
        <v>501</v>
      </c>
      <c r="F68" s="319">
        <f>IF(OR(N57=2,N58="A"),"",'1Př2'!F14)</f>
        <v>0</v>
      </c>
      <c r="G68" t="s">
        <v>3350</v>
      </c>
      <c r="I68" s="261" t="s">
        <v>544</v>
      </c>
      <c r="J68" s="319">
        <f>'2Př'!G34</f>
        <v>0</v>
      </c>
      <c r="K68" s="268" t="s">
        <v>3350</v>
      </c>
    </row>
    <row r="69" spans="1:22" ht="14.25" hidden="1" customHeight="1">
      <c r="A69" s="261" t="s">
        <v>342</v>
      </c>
      <c r="B69" s="262" t="e">
        <f>IF(#REF!&lt;&gt;"",IF(#REF!&gt;0,"P","Z"),"")</f>
        <v>#REF!</v>
      </c>
      <c r="C69" s="324" t="s">
        <v>3358</v>
      </c>
      <c r="E69" s="261" t="s">
        <v>502</v>
      </c>
      <c r="F69" s="319">
        <f>IF(OR(N57=2,N58="A"),"",'1Př2'!C16)</f>
        <v>0</v>
      </c>
      <c r="G69" t="s">
        <v>3350</v>
      </c>
      <c r="I69" s="261" t="s">
        <v>545</v>
      </c>
      <c r="J69" s="319">
        <f>'2Př'!G12</f>
        <v>0</v>
      </c>
      <c r="K69" s="268" t="s">
        <v>3350</v>
      </c>
    </row>
    <row r="70" spans="1:22" ht="14.25" hidden="1" customHeight="1">
      <c r="A70" s="261" t="s">
        <v>343</v>
      </c>
      <c r="B70">
        <v>500</v>
      </c>
      <c r="C70" s="324" t="s">
        <v>3351</v>
      </c>
      <c r="E70" s="261" t="s">
        <v>503</v>
      </c>
      <c r="F70" s="319">
        <f>IF(OR(N57=2,N58="A"),"",'1Př2'!G7)</f>
        <v>0</v>
      </c>
      <c r="G70" t="s">
        <v>3350</v>
      </c>
      <c r="I70" s="261" t="s">
        <v>546</v>
      </c>
      <c r="J70" s="319">
        <f>'2Př'!G35</f>
        <v>0</v>
      </c>
      <c r="K70" s="268" t="s">
        <v>3350</v>
      </c>
      <c r="M70" t="s">
        <v>555</v>
      </c>
      <c r="Q70" t="s">
        <v>523</v>
      </c>
      <c r="R70" s="261" t="s">
        <v>524</v>
      </c>
      <c r="S70" s="264" t="s">
        <v>525</v>
      </c>
      <c r="T70" s="264" t="s">
        <v>526</v>
      </c>
      <c r="U70" s="264" t="s">
        <v>527</v>
      </c>
    </row>
    <row r="71" spans="1:22" ht="14.25" hidden="1" customHeight="1">
      <c r="A71" s="261" t="s">
        <v>344</v>
      </c>
      <c r="B71" s="317" t="str">
        <f>CONCATENATE("31.12.",'DAP1'!F24)</f>
        <v>31.12.2024</v>
      </c>
      <c r="E71" s="261" t="s">
        <v>504</v>
      </c>
      <c r="F71" s="319">
        <f>IF(OR(N57=2,N58="A"),"",'1Př2'!G10)</f>
        <v>0</v>
      </c>
      <c r="G71" t="s">
        <v>3350</v>
      </c>
      <c r="I71" s="261" t="s">
        <v>547</v>
      </c>
      <c r="J71" s="319">
        <f>'2Př'!G16</f>
        <v>0</v>
      </c>
      <c r="K71" s="268" t="s">
        <v>3350</v>
      </c>
      <c r="M71" s="261" t="s">
        <v>563</v>
      </c>
      <c r="N71" s="320">
        <f>'3Př'!F30</f>
        <v>0</v>
      </c>
      <c r="O71" s="268" t="s">
        <v>3350</v>
      </c>
      <c r="R71" s="317" t="str">
        <f>IF('1Př2'!F39&lt;&gt;"",IF(OR(ISNUMBER('1Př2'!F39),ISNUMBER(FIND("/",('1Př2'!F39)))),'1Př2'!F39,MID('1Př2'!F39,3,(LEN('1Př2'!F39)-2))),"")</f>
        <v/>
      </c>
      <c r="S71" s="317" t="str">
        <f>IF('1Př2'!B39&lt;&gt;"",'1Př2'!B39,"")</f>
        <v/>
      </c>
      <c r="T71" t="str">
        <f>IF('1Př2'!G39&lt;&gt;"",('1Př2'!G39)*100,"")</f>
        <v/>
      </c>
      <c r="U71" s="317" t="str">
        <f>IF('1Př2'!D39&lt;&gt;"",'1Př2'!D39,"")</f>
        <v/>
      </c>
    </row>
    <row r="72" spans="1:22" ht="14.25" hidden="1" customHeight="1">
      <c r="A72" s="261" t="s">
        <v>345</v>
      </c>
      <c r="B72" s="317" t="str">
        <f>CONCATENATE("01.01.",'DAP1'!F24)</f>
        <v>01.01.2024</v>
      </c>
      <c r="E72" s="261" t="s">
        <v>505</v>
      </c>
      <c r="F72" s="319">
        <f>IF(OR(N57=2,N58="A"),"",'1Př2'!G11)</f>
        <v>0</v>
      </c>
      <c r="G72" t="s">
        <v>3350</v>
      </c>
      <c r="I72" s="261" t="s">
        <v>548</v>
      </c>
      <c r="J72" s="319">
        <f>'2Př'!G14</f>
        <v>0</v>
      </c>
      <c r="K72" s="268" t="s">
        <v>3350</v>
      </c>
      <c r="M72" s="261" t="s">
        <v>564</v>
      </c>
      <c r="N72" s="320">
        <f>'3Př'!F28</f>
        <v>0</v>
      </c>
      <c r="O72" s="268" t="s">
        <v>3350</v>
      </c>
      <c r="R72" s="262" t="str">
        <f>IF('1Př2'!F40&lt;&gt;"",IF(OR(ISNUMBER('1Př2'!F40),ISNUMBER(FIND("/",('1Př2'!F40)))),'1Př2'!F40,MID('1Př2'!F40,3,(LEN('1Př2'!F40)-2))),"")</f>
        <v/>
      </c>
      <c r="S72" s="262" t="str">
        <f>IF('1Př2'!B40&lt;&gt;"",'1Př2'!B40,"")</f>
        <v/>
      </c>
      <c r="T72" t="str">
        <f>IF('1Př2'!G40&lt;&gt;"",('1Př2'!G40)*100,"")</f>
        <v/>
      </c>
      <c r="U72" s="262" t="str">
        <f>IF('1Př2'!D40&lt;&gt;"",'1Př2'!D40,"")</f>
        <v/>
      </c>
    </row>
    <row r="73" spans="1:22" ht="14.25" hidden="1" customHeight="1">
      <c r="A73" s="261" t="s">
        <v>3459</v>
      </c>
      <c r="B73">
        <f>'DAP3'!H21</f>
        <v>0</v>
      </c>
      <c r="E73" s="261" t="s">
        <v>506</v>
      </c>
      <c r="F73" s="319">
        <f>IF(OR(N57=2,N58="A"),"",'1Př2'!G8)</f>
        <v>0</v>
      </c>
      <c r="G73" t="s">
        <v>3350</v>
      </c>
      <c r="I73" s="261" t="s">
        <v>549</v>
      </c>
      <c r="J73" s="317" t="str">
        <f>IF('2Př'!J7&lt;&gt;"","A","N")</f>
        <v>N</v>
      </c>
      <c r="K73" s="268" t="s">
        <v>3350</v>
      </c>
      <c r="M73" s="261" t="s">
        <v>565</v>
      </c>
      <c r="N73" s="320">
        <f>'3Př'!F27</f>
        <v>0</v>
      </c>
      <c r="O73" s="268" t="s">
        <v>3350</v>
      </c>
    </row>
    <row r="74" spans="1:22" ht="14.25" hidden="1" customHeight="1">
      <c r="A74" s="261" t="s">
        <v>3460</v>
      </c>
      <c r="B74">
        <f>'DAP3'!J21</f>
        <v>0</v>
      </c>
      <c r="E74" s="261" t="s">
        <v>507</v>
      </c>
      <c r="F74" s="319">
        <f>IF(OR(N57=2,N58="A"),"",'1Př2'!G9)</f>
        <v>0</v>
      </c>
      <c r="G74" t="s">
        <v>3350</v>
      </c>
      <c r="I74" s="261" t="s">
        <v>550</v>
      </c>
      <c r="J74" s="319">
        <f>'2Př'!G33</f>
        <v>0</v>
      </c>
      <c r="K74" s="268" t="s">
        <v>3350</v>
      </c>
      <c r="M74" s="261" t="s">
        <v>403</v>
      </c>
      <c r="N74" s="319">
        <f>'DAP2'!E15</f>
        <v>0</v>
      </c>
      <c r="R74" s="268" t="s">
        <v>3350</v>
      </c>
      <c r="S74" s="268" t="s">
        <v>3350</v>
      </c>
      <c r="T74" s="268" t="s">
        <v>3350</v>
      </c>
      <c r="U74" s="268" t="s">
        <v>3350</v>
      </c>
    </row>
    <row r="75" spans="1:22" ht="14.25" hidden="1" customHeight="1">
      <c r="A75" t="s">
        <v>3463</v>
      </c>
      <c r="B75">
        <f>'DAP3'!I21</f>
        <v>0</v>
      </c>
      <c r="E75" s="261" t="s">
        <v>508</v>
      </c>
      <c r="F75" s="319">
        <f>IF(OR(N57=2,N58="A"),"",'1Př2'!G12)</f>
        <v>0</v>
      </c>
      <c r="G75" t="s">
        <v>3350</v>
      </c>
      <c r="I75" s="261" t="s">
        <v>551</v>
      </c>
      <c r="J75" s="319">
        <f>'2Př'!G35</f>
        <v>0</v>
      </c>
      <c r="K75" s="268" t="s">
        <v>3350</v>
      </c>
      <c r="M75" s="261" t="s">
        <v>404</v>
      </c>
      <c r="N75" s="319">
        <f>'DAP2'!E10</f>
        <v>0</v>
      </c>
    </row>
    <row r="76" spans="1:22" ht="14.25" hidden="1" customHeight="1">
      <c r="A76" s="261" t="s">
        <v>3464</v>
      </c>
      <c r="B76">
        <f>'DAP3'!K21</f>
        <v>0</v>
      </c>
      <c r="E76" s="261" t="s">
        <v>509</v>
      </c>
      <c r="F76" s="319">
        <f>IF(OR(N57=2,N58="A"),"",'1Př2'!G13)</f>
        <v>0</v>
      </c>
      <c r="G76" t="s">
        <v>3350</v>
      </c>
      <c r="I76" s="261" t="s">
        <v>552</v>
      </c>
      <c r="J76" s="319">
        <f>'2Př'!G34</f>
        <v>0</v>
      </c>
      <c r="K76" s="268" t="s">
        <v>3350</v>
      </c>
      <c r="M76" s="261" t="s">
        <v>3653</v>
      </c>
      <c r="N76" s="319">
        <f>'3Př'!F10</f>
        <v>0</v>
      </c>
    </row>
    <row r="77" spans="1:22" ht="14.25" hidden="1" customHeight="1">
      <c r="A77" s="261" t="s">
        <v>3465</v>
      </c>
      <c r="B77" s="268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1" t="s">
        <v>510</v>
      </c>
      <c r="F77" s="319">
        <f>IF(OR(N57=2,N58="A"),"",'1Př2'!G14)</f>
        <v>0</v>
      </c>
      <c r="G77" t="s">
        <v>3350</v>
      </c>
      <c r="I77" s="261" t="s">
        <v>553</v>
      </c>
      <c r="J77" s="317" t="str">
        <f>IF('2Př'!D7&lt;&gt;"","A","N")</f>
        <v>N</v>
      </c>
      <c r="K77" s="268" t="s">
        <v>3350</v>
      </c>
      <c r="M77" s="261" t="s">
        <v>3654</v>
      </c>
      <c r="N77" s="320">
        <f>'3Př'!F30</f>
        <v>0</v>
      </c>
    </row>
    <row r="78" spans="1:22" ht="14.25" hidden="1" customHeight="1">
      <c r="A78" s="261" t="s">
        <v>3549</v>
      </c>
      <c r="B78" t="str">
        <f>IF('DAP3'!E10&lt;&gt;"",'DAP3'!E10,"")</f>
        <v/>
      </c>
      <c r="I78" s="261" t="s">
        <v>3571</v>
      </c>
      <c r="J78" s="262" t="e">
        <f>IF('2Př'!#REF!&lt;&gt;"","A","N")</f>
        <v>#REF!</v>
      </c>
      <c r="M78" s="261" t="s">
        <v>3655</v>
      </c>
      <c r="N78" s="451">
        <f>'3Př'!F12</f>
        <v>0</v>
      </c>
    </row>
    <row r="79" spans="1:22" ht="14.25" hidden="1" customHeight="1">
      <c r="A79" s="261" t="s">
        <v>313</v>
      </c>
      <c r="B79" s="319">
        <f>'DAP3'!D46</f>
        <v>0</v>
      </c>
      <c r="M79" s="261" t="s">
        <v>3656</v>
      </c>
      <c r="N79" s="320">
        <f>'3Př'!F13</f>
        <v>0</v>
      </c>
    </row>
    <row r="80" spans="1:22" ht="14.25" hidden="1" customHeight="1">
      <c r="A80" s="261" t="s">
        <v>3647</v>
      </c>
      <c r="B80" s="319">
        <f>'4Př'!F21</f>
        <v>0</v>
      </c>
      <c r="M80" s="261"/>
      <c r="Q80" t="s">
        <v>528</v>
      </c>
      <c r="R80" s="261" t="s">
        <v>531</v>
      </c>
      <c r="S80" s="264" t="s">
        <v>532</v>
      </c>
      <c r="T80" s="264" t="s">
        <v>533</v>
      </c>
      <c r="U80" s="264" t="s">
        <v>534</v>
      </c>
    </row>
    <row r="81" spans="1:21" ht="14.25" hidden="1" customHeight="1">
      <c r="A81" s="261" t="s">
        <v>3648</v>
      </c>
      <c r="B81" s="319">
        <f>'DAP3'!D25+'DAP3'!D26</f>
        <v>0</v>
      </c>
      <c r="M81" s="261"/>
      <c r="R81" s="317" t="str">
        <f>IF('1Př2'!F44&lt;&gt;"",MID('1Př2'!F44,3,LEN('1Př2'!F44)-2),"")</f>
        <v/>
      </c>
      <c r="S81" s="317" t="str">
        <f>IF('1Př2'!B44&lt;&gt;"",'1Př2'!B44,"")</f>
        <v/>
      </c>
      <c r="T81" t="str">
        <f>IF('1Př2'!G44&lt;&gt;"",'1Př2'!G44*100,"")</f>
        <v/>
      </c>
      <c r="U81" s="317" t="str">
        <f>IF('1Př2'!D44&lt;&gt;"",'1Př2'!D44,"")</f>
        <v/>
      </c>
    </row>
    <row r="82" spans="1:21" ht="14.25" hidden="1" customHeight="1">
      <c r="A82" s="261" t="s">
        <v>3649</v>
      </c>
      <c r="B82" s="319">
        <f>'DAP3'!D30</f>
        <v>0</v>
      </c>
    </row>
    <row r="83" spans="1:21" ht="14.25" hidden="1" customHeight="1">
      <c r="A83" s="261" t="s">
        <v>3650</v>
      </c>
      <c r="B83" s="319">
        <f>'DAP3'!D31</f>
        <v>0</v>
      </c>
      <c r="R83" s="268" t="s">
        <v>3350</v>
      </c>
      <c r="S83" s="268" t="s">
        <v>3350</v>
      </c>
      <c r="T83" s="268" t="s">
        <v>3350</v>
      </c>
      <c r="U83" s="268" t="s">
        <v>3350</v>
      </c>
    </row>
    <row r="88" spans="1:21" ht="14.25" hidden="1" customHeight="1">
      <c r="A88" s="316" t="s">
        <v>586</v>
      </c>
    </row>
    <row r="89" spans="1:21" ht="14.25" hidden="1" customHeight="1">
      <c r="A89" s="261" t="s">
        <v>587</v>
      </c>
      <c r="B89" s="262"/>
    </row>
    <row r="90" spans="1:21" ht="14.25" hidden="1" customHeight="1">
      <c r="A90" s="261" t="s">
        <v>588</v>
      </c>
      <c r="B90" s="317" t="str">
        <f>IF('DAP4'!D55&lt;&gt;0,+CONCATENATE(ZAKL_DATA!B33),"")</f>
        <v/>
      </c>
      <c r="C90" s="268" t="s">
        <v>3361</v>
      </c>
      <c r="Q90" t="s">
        <v>529</v>
      </c>
      <c r="R90" s="261" t="s">
        <v>535</v>
      </c>
      <c r="S90" s="264" t="s">
        <v>536</v>
      </c>
    </row>
    <row r="91" spans="1:21" ht="14.25" hidden="1" customHeight="1">
      <c r="A91" s="261" t="s">
        <v>589</v>
      </c>
      <c r="B91" s="262"/>
      <c r="R91" s="317" t="str">
        <f>IF('1Př2'!F47&lt;&gt;"",MID('1Př2'!F47,3,LEN('1Př2'!F47)-2),"")</f>
        <v/>
      </c>
      <c r="S91" t="str">
        <f>IF('1Př2'!G47&lt;&gt;"",'1Př2'!G47*100,"")</f>
        <v/>
      </c>
    </row>
    <row r="92" spans="1:21" ht="14.25" hidden="1" customHeight="1">
      <c r="A92" s="261" t="s">
        <v>590</v>
      </c>
      <c r="B92" s="262"/>
    </row>
    <row r="93" spans="1:21" ht="14.25" hidden="1" customHeight="1">
      <c r="A93" s="261" t="s">
        <v>591</v>
      </c>
      <c r="B93" t="str">
        <f>IF('DAP4'!D55&lt;&gt;0,'DAP4'!D55,"")</f>
        <v/>
      </c>
      <c r="C93" s="268" t="s">
        <v>3361</v>
      </c>
      <c r="R93" s="268" t="s">
        <v>3350</v>
      </c>
      <c r="S93" s="268" t="s">
        <v>3350</v>
      </c>
    </row>
    <row r="94" spans="1:21" ht="14.25" hidden="1" customHeight="1">
      <c r="A94" s="261" t="s">
        <v>592</v>
      </c>
      <c r="B94" s="262"/>
    </row>
    <row r="95" spans="1:21" ht="14.25" hidden="1" customHeight="1">
      <c r="A95" s="261" t="s">
        <v>593</v>
      </c>
      <c r="B95" s="317" t="str">
        <f>IF('DAP4'!D55&lt;&gt;0,ZAKL_DATA!B18,"")</f>
        <v/>
      </c>
      <c r="C95" s="268" t="s">
        <v>3361</v>
      </c>
    </row>
    <row r="96" spans="1:21" ht="14.25" hidden="1" customHeight="1">
      <c r="A96" s="261" t="s">
        <v>594</v>
      </c>
      <c r="B96" s="262"/>
    </row>
    <row r="97" spans="1:23" ht="14.25" hidden="1" customHeight="1">
      <c r="A97" s="261" t="s">
        <v>595</v>
      </c>
      <c r="B97" s="317" t="str">
        <f>IF('DAP4'!D55&lt;&gt;0,+CONCATENATE('DAP1'!B28," ",'DAP1'!J28),"")</f>
        <v/>
      </c>
      <c r="C97" s="268" t="s">
        <v>3361</v>
      </c>
    </row>
    <row r="98" spans="1:23" ht="14.25" hidden="1" customHeight="1">
      <c r="A98" s="261" t="s">
        <v>596</v>
      </c>
      <c r="B98" s="262"/>
    </row>
    <row r="99" spans="1:23" ht="14.25" hidden="1" customHeight="1">
      <c r="A99" s="261" t="s">
        <v>597</v>
      </c>
      <c r="B99" s="317" t="str">
        <f>IF('DAP4'!D55&lt;&gt;0,ZAKL_DATA!B19,"")</f>
        <v/>
      </c>
      <c r="C99" s="268" t="s">
        <v>3361</v>
      </c>
    </row>
    <row r="100" spans="1:23" ht="14.25" hidden="1" customHeight="1">
      <c r="A100" s="261" t="s">
        <v>598</v>
      </c>
      <c r="B100" s="262"/>
      <c r="Q100" t="s">
        <v>554</v>
      </c>
      <c r="R100" s="261" t="s">
        <v>557</v>
      </c>
      <c r="S100" s="264" t="s">
        <v>558</v>
      </c>
      <c r="T100" s="264" t="s">
        <v>559</v>
      </c>
      <c r="U100" s="264" t="s">
        <v>560</v>
      </c>
      <c r="V100" s="264" t="s">
        <v>561</v>
      </c>
      <c r="W100" s="264" t="s">
        <v>562</v>
      </c>
    </row>
    <row r="101" spans="1:23" ht="14.25" hidden="1" customHeight="1">
      <c r="A101" s="261" t="s">
        <v>599</v>
      </c>
      <c r="B101" s="317" t="str">
        <f>IF('DAP4'!D55&lt;&gt;0,ZAKL_DATA!B18,"")</f>
        <v/>
      </c>
      <c r="C101" s="268" t="s">
        <v>3361</v>
      </c>
      <c r="R101" s="317" t="str">
        <f>IF('2Př'!B24&lt;&gt;"",'2Př'!B24,"")</f>
        <v/>
      </c>
      <c r="S101" s="317" t="str">
        <f>IF('2Př'!J24&lt;&gt;"",'2Př'!J24,"")</f>
        <v/>
      </c>
      <c r="T101" s="31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hidden="1" customHeight="1">
      <c r="A102" s="261" t="s">
        <v>600</v>
      </c>
      <c r="B102" s="317" t="str">
        <f>IF('DAP4'!D55&lt;&gt;0,IF(ZAKL_DATA!B20&lt;&gt;"",VLOOKUP(ZAKL_DATA!B20,FU!J3:K253,2,FALSE),"CZ"),"")</f>
        <v/>
      </c>
      <c r="C102" s="268" t="s">
        <v>3361</v>
      </c>
      <c r="R102" s="262" t="str">
        <f>IF('2Př'!B25&lt;&gt;"",'2Př'!B25,"")</f>
        <v/>
      </c>
      <c r="S102" s="262" t="str">
        <f>IF('2Př'!J25&lt;&gt;"",'2Př'!J25,"")</f>
        <v/>
      </c>
      <c r="T102" s="26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hidden="1" customHeight="1">
      <c r="A103" s="261" t="s">
        <v>601</v>
      </c>
      <c r="B103" s="262"/>
      <c r="R103" s="262" t="str">
        <f>IF('2Př'!B26&lt;&gt;"",'2Př'!B26,"")</f>
        <v/>
      </c>
      <c r="S103" s="262" t="str">
        <f>IF('2Př'!J26&lt;&gt;"",'2Př'!J26,"")</f>
        <v/>
      </c>
      <c r="T103" s="26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hidden="1" customHeight="1">
      <c r="A104" s="261" t="s">
        <v>602</v>
      </c>
      <c r="B104" s="262"/>
      <c r="R104" s="262" t="str">
        <f>IF('2Př'!B27&lt;&gt;"",'2Př'!B27,"")</f>
        <v/>
      </c>
      <c r="S104" s="262" t="str">
        <f>IF('2Př'!J27&lt;&gt;"",'2Př'!J27,"")</f>
        <v/>
      </c>
      <c r="T104" s="26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 hidden="1" customHeight="1">
      <c r="A105" s="261" t="s">
        <v>603</v>
      </c>
      <c r="B105" s="262" t="str">
        <f>IF('DAP4'!D55&lt;&gt;0,ZAKL_DATA!B16,"")</f>
        <v/>
      </c>
      <c r="C105" s="268" t="s">
        <v>3361</v>
      </c>
    </row>
    <row r="106" spans="1:23" ht="14.25" hidden="1" customHeight="1">
      <c r="A106" s="261" t="s">
        <v>604</v>
      </c>
      <c r="B106" s="317" t="str">
        <f>IF('DAP4'!D55&lt;&gt;0,IF('DAP4'!G57&lt;&gt;"","U","A"),"")</f>
        <v/>
      </c>
      <c r="C106" s="268" t="s">
        <v>3361</v>
      </c>
      <c r="T106" s="268"/>
    </row>
    <row r="107" spans="1:23" ht="14.25" hidden="1" customHeight="1">
      <c r="A107" s="261" t="s">
        <v>605</v>
      </c>
      <c r="B107" s="317" t="str">
        <f>IF('DAP4'!D55&lt;&gt;0,IF(ISNUMBER(FIND("-",ZAKL_DATA!B32)),MID(ZAKL_DATA!B32,(FIND("-",ZAKL_DATA!B32,1))+1,LEN(ZAKL_DATA!B32)),ZAKL_DATA!B32),"")</f>
        <v/>
      </c>
      <c r="C107" s="268" t="s">
        <v>3361</v>
      </c>
    </row>
    <row r="108" spans="1:23" ht="14.25" hidden="1" customHeight="1">
      <c r="A108" s="261" t="s">
        <v>606</v>
      </c>
      <c r="C108" s="268" t="s">
        <v>3361</v>
      </c>
    </row>
    <row r="109" spans="1:23" ht="14.25" hidden="1" customHeight="1">
      <c r="A109" s="261" t="s">
        <v>607</v>
      </c>
      <c r="B109" s="317" t="str">
        <f>IF('DAP4'!D55&lt;&gt;0,IF(ISNUMBER(FIND("/",ZAKL_DATA!B17)),MID(ZAKL_DATA!B17,(FIND("/",ZAKL_DATA!B17,1))+1,LEN(ZAKL_DATA!B17)),""),"")</f>
        <v/>
      </c>
      <c r="C109" s="268" t="s">
        <v>3361</v>
      </c>
    </row>
    <row r="110" spans="1:23" ht="14.25" hidden="1" customHeight="1">
      <c r="A110" s="261" t="s">
        <v>608</v>
      </c>
      <c r="B110" t="str">
        <f>IF('DAP4'!D55&lt;&gt;0,IF(ISNUMBER(FIND("/",ZAKL_DATA!B17)),LEFT(ZAKL_DATA!B17,(FIND("/",ZAKL_DATA!B17,1))-1),ZAKL_DATA!B17),"")</f>
        <v/>
      </c>
      <c r="C110" s="268" t="s">
        <v>3361</v>
      </c>
      <c r="Q110" t="s">
        <v>556</v>
      </c>
      <c r="R110" s="261" t="s">
        <v>566</v>
      </c>
      <c r="S110" s="264" t="s">
        <v>567</v>
      </c>
      <c r="T110" s="264" t="s">
        <v>568</v>
      </c>
    </row>
    <row r="111" spans="1:23" ht="14.25" hidden="1" customHeight="1">
      <c r="A111" s="261" t="s">
        <v>609</v>
      </c>
      <c r="B111" s="317" t="str">
        <f>IF('DAP4'!D55&lt;&gt;0,ZAKL_DATA!B4,"")</f>
        <v/>
      </c>
      <c r="C111" s="268" t="s">
        <v>3361</v>
      </c>
      <c r="R111" s="262"/>
      <c r="T111" s="262"/>
    </row>
    <row r="112" spans="1:23" ht="14.25" hidden="1" customHeight="1">
      <c r="A112" s="261" t="s">
        <v>610</v>
      </c>
      <c r="B112" t="str">
        <f>IF('DAP4'!D55&lt;&gt;0,ZAKL_DATA!B33,"")</f>
        <v/>
      </c>
      <c r="C112" s="268" t="s">
        <v>3361</v>
      </c>
    </row>
    <row r="113" spans="1:27" ht="14.25" hidden="1" customHeight="1">
      <c r="A113" s="261" t="s">
        <v>611</v>
      </c>
      <c r="B113" s="317" t="str">
        <f>IF('DAP4'!D55&lt;&gt;0,ZAKL_DATA!B34,"")</f>
        <v/>
      </c>
      <c r="C113" s="268" t="s">
        <v>3361</v>
      </c>
      <c r="Q113" s="268" t="s">
        <v>3359</v>
      </c>
      <c r="R113" s="322" t="s">
        <v>3355</v>
      </c>
      <c r="S113" s="318"/>
      <c r="T113" s="318"/>
    </row>
    <row r="114" spans="1:27" ht="14.25" hidden="1" customHeight="1">
      <c r="A114" s="261" t="s">
        <v>612</v>
      </c>
      <c r="B114" s="317" t="str">
        <f>IF('DAP4'!D55&lt;&gt;0,ZAKL_DATA!B18,"")</f>
        <v/>
      </c>
      <c r="C114" s="268" t="s">
        <v>3361</v>
      </c>
    </row>
    <row r="115" spans="1:27" ht="14.25" hidden="1" customHeight="1">
      <c r="A115" s="261" t="s">
        <v>613</v>
      </c>
      <c r="B115" t="str">
        <f>IF('DAP4'!D55&lt;&gt;0,IF(ISNUMBER(FIND("-",ZAKL_DATA!B32)),LEFT(ZAKL_DATA!B32,(FIND("-",ZAKL_DATA!B32,1))-1),""),"")</f>
        <v/>
      </c>
      <c r="C115" s="268" t="s">
        <v>3361</v>
      </c>
    </row>
    <row r="116" spans="1:27" ht="14.25" hidden="1" customHeight="1">
      <c r="A116" s="261" t="s">
        <v>614</v>
      </c>
      <c r="B116" s="317" t="str">
        <f>IF('DAP4'!D55&lt;&gt;0,ZAKL_DATA!B5,"")</f>
        <v/>
      </c>
      <c r="C116" s="268" t="s">
        <v>3361</v>
      </c>
    </row>
    <row r="117" spans="1:27" ht="14.25" hidden="1" customHeight="1">
      <c r="A117" s="261" t="s">
        <v>615</v>
      </c>
      <c r="B117" t="str">
        <f>IF('DAP4'!D55&lt;&gt;0,ZAKL_DATA!B19,"")</f>
        <v/>
      </c>
      <c r="C117" s="268" t="s">
        <v>3361</v>
      </c>
    </row>
    <row r="118" spans="1:27" ht="14.25" hidden="1" customHeight="1">
      <c r="A118" s="261" t="s">
        <v>616</v>
      </c>
      <c r="B118" s="317" t="str">
        <f>IF('DAP4'!D55&lt;&gt;0,'DAP4'!H58,"")</f>
        <v/>
      </c>
      <c r="C118" s="268" t="s">
        <v>3361</v>
      </c>
    </row>
    <row r="119" spans="1:27" ht="14.25" hidden="1" customHeight="1">
      <c r="A119" s="261" t="s">
        <v>617</v>
      </c>
      <c r="B119" s="317" t="str">
        <f>IF('DAP4'!D55&lt;&gt;0,ZAKL_DATA!B7,"")</f>
        <v/>
      </c>
      <c r="C119" s="268" t="s">
        <v>3361</v>
      </c>
    </row>
    <row r="120" spans="1:27" ht="14.25" hidden="1" customHeight="1">
      <c r="A120" s="261" t="s">
        <v>618</v>
      </c>
      <c r="B120" s="317" t="str">
        <f>IF('DAP4'!D55&lt;&gt;0,ZAKL_DATA!B16,"")</f>
        <v/>
      </c>
      <c r="C120" s="268" t="s">
        <v>3361</v>
      </c>
      <c r="Q120" t="s">
        <v>569</v>
      </c>
      <c r="R120" s="261" t="s">
        <v>571</v>
      </c>
      <c r="S120" s="264" t="s">
        <v>572</v>
      </c>
      <c r="T120" s="264" t="s">
        <v>573</v>
      </c>
      <c r="U120" s="264" t="s">
        <v>574</v>
      </c>
      <c r="V120" s="264" t="s">
        <v>575</v>
      </c>
      <c r="W120" s="264" t="s">
        <v>576</v>
      </c>
      <c r="X120" s="264" t="s">
        <v>577</v>
      </c>
      <c r="Y120" s="264" t="s">
        <v>578</v>
      </c>
      <c r="Z120" s="264" t="s">
        <v>579</v>
      </c>
      <c r="AA120" s="264" t="s">
        <v>580</v>
      </c>
    </row>
    <row r="121" spans="1:27" ht="14.25" hidden="1" customHeight="1">
      <c r="R121" s="320">
        <f>'3Př_a'!F17</f>
        <v>0</v>
      </c>
      <c r="S121" s="319">
        <f>'3Př_a'!F14</f>
        <v>0</v>
      </c>
      <c r="T121" s="319">
        <f>'3Př_a'!F12</f>
        <v>0</v>
      </c>
      <c r="U121" s="319">
        <f>'3Př_a'!F13</f>
        <v>0</v>
      </c>
      <c r="V121" s="320">
        <f>'3Př_a'!F16</f>
        <v>0</v>
      </c>
      <c r="W121" s="319">
        <f>'3Př_a'!F12</f>
        <v>0</v>
      </c>
      <c r="X121" s="319">
        <f>'3Př_a'!F13</f>
        <v>0</v>
      </c>
      <c r="Y121" s="317" t="str">
        <f>IF('3Př_a'!C8&lt;&gt;"",'3Př_a'!C8,"")</f>
        <v/>
      </c>
      <c r="Z121">
        <f>'3Př_a'!F15*100</f>
        <v>0</v>
      </c>
      <c r="AA121" s="320">
        <f>'3Př_a'!F18</f>
        <v>0</v>
      </c>
    </row>
    <row r="123" spans="1:27" ht="14.25" hidden="1" customHeight="1">
      <c r="T123" s="322" t="s">
        <v>3356</v>
      </c>
      <c r="U123" s="318"/>
    </row>
    <row r="124" spans="1:27" ht="14.25" hidden="1" customHeight="1">
      <c r="T124" s="268" t="s">
        <v>3360</v>
      </c>
    </row>
    <row r="130" spans="17:55" ht="14.25" hidden="1" customHeight="1">
      <c r="Q130" t="s">
        <v>570</v>
      </c>
      <c r="R130" s="261" t="s">
        <v>581</v>
      </c>
      <c r="S130" s="264" t="s">
        <v>582</v>
      </c>
      <c r="T130" s="264" t="s">
        <v>583</v>
      </c>
      <c r="U130" s="264" t="s">
        <v>584</v>
      </c>
      <c r="V130" s="264" t="s">
        <v>585</v>
      </c>
    </row>
    <row r="131" spans="17:55" ht="14.25" hidden="1" customHeight="1">
      <c r="R131" s="317">
        <f>IF('6Př'!B12&lt;&gt;"",'6Př'!B12,"")</f>
        <v>2023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68" t="s">
        <v>3350</v>
      </c>
    </row>
    <row r="132" spans="17:55" ht="14.25" hidden="1" customHeight="1">
      <c r="R132" s="26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4.25" hidden="1" customHeight="1">
      <c r="R133" s="26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4.25" hidden="1" customHeight="1">
      <c r="R134" s="26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4.25" hidden="1" customHeight="1">
      <c r="R135" s="26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4.25" hidden="1" customHeight="1">
      <c r="R136" s="26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4.25" hidden="1" customHeight="1">
      <c r="R137" s="26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4.25" hidden="1" customHeight="1">
      <c r="R138" s="26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4.25" hidden="1" customHeight="1">
      <c r="R140" s="268" t="s">
        <v>3350</v>
      </c>
      <c r="S140" s="268" t="s">
        <v>3350</v>
      </c>
      <c r="T140" s="268" t="s">
        <v>3350</v>
      </c>
      <c r="U140" s="268" t="s">
        <v>3350</v>
      </c>
      <c r="V140" s="268" t="s">
        <v>3350</v>
      </c>
    </row>
    <row r="143" spans="17:55" ht="14.25" hidden="1" customHeight="1">
      <c r="Q143" t="s">
        <v>619</v>
      </c>
      <c r="R143" s="261" t="s">
        <v>621</v>
      </c>
      <c r="S143" s="264" t="s">
        <v>622</v>
      </c>
      <c r="T143" s="264" t="s">
        <v>623</v>
      </c>
      <c r="U143" s="264" t="s">
        <v>624</v>
      </c>
      <c r="V143" s="264" t="s">
        <v>625</v>
      </c>
      <c r="W143" s="261" t="s">
        <v>3472</v>
      </c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</row>
    <row r="144" spans="17:55" ht="14.25" hidden="1" customHeight="1">
      <c r="R144" s="319"/>
    </row>
    <row r="146" spans="17:22" ht="14.25" hidden="1" customHeight="1">
      <c r="R146" s="322" t="s">
        <v>3357</v>
      </c>
      <c r="S146" s="318"/>
      <c r="T146" s="318"/>
      <c r="U146" s="318"/>
      <c r="V146" s="318"/>
    </row>
    <row r="153" spans="17:22" ht="14.25" hidden="1" customHeight="1">
      <c r="Q153" t="s">
        <v>620</v>
      </c>
      <c r="R153" s="261" t="s">
        <v>626</v>
      </c>
      <c r="S153" s="264" t="s">
        <v>627</v>
      </c>
      <c r="T153" s="264" t="s">
        <v>628</v>
      </c>
      <c r="U153" s="264" t="s">
        <v>629</v>
      </c>
      <c r="V153" s="264" t="s">
        <v>630</v>
      </c>
    </row>
    <row r="154" spans="17:22" ht="14.25" hidden="1" customHeight="1">
      <c r="R154" t="str">
        <f>IF(Př_b!E10&lt;&gt;"",Př_b!E10,"")</f>
        <v/>
      </c>
      <c r="S154" s="317" t="str">
        <f>IF(AND(Př_b!B10&lt;&gt;"",Př_b!B10&lt;&gt;0),Př_b!B10,"")</f>
        <v/>
      </c>
      <c r="T154" s="317" t="str">
        <f>IF(AND(Př_b!C10&lt;&gt;"",Př_b!C10&lt;&gt;0),VLOOKUP(Př_b!C10,FU!$J$3:$K$253,2,FALSE),"")</f>
        <v/>
      </c>
      <c r="U154" t="str">
        <f>IF(Př_b!F10&lt;&gt;"",Př_b!F10,"")</f>
        <v/>
      </c>
      <c r="V154" s="268" t="str">
        <f>IF(Př_b!D10&lt;&gt;"",Př_b!D10,"")</f>
        <v/>
      </c>
    </row>
    <row r="155" spans="17:22" ht="14.25" hidden="1" customHeight="1">
      <c r="R155" t="str">
        <f>IF(Př_b!E11&lt;&gt;"",Př_b!E11,"")</f>
        <v/>
      </c>
      <c r="S155" s="262" t="str">
        <f>IF(AND(Př_b!B11&lt;&gt;"",Př_b!B11&lt;&gt;0),Př_b!B11,"")</f>
        <v/>
      </c>
      <c r="T155" s="26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4.25" hidden="1" customHeight="1">
      <c r="R156" t="str">
        <f>IF(Př_b!E12&lt;&gt;"",Př_b!E12,"")</f>
        <v/>
      </c>
      <c r="S156" s="262" t="str">
        <f>IF(AND(Př_b!B12&lt;&gt;"",Př_b!B12&lt;&gt;0),Př_b!B12,"")</f>
        <v/>
      </c>
      <c r="T156" s="26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4.25" hidden="1" customHeight="1">
      <c r="R157" t="str">
        <f>IF(Př_b!E13&lt;&gt;"",Př_b!E13,"")</f>
        <v/>
      </c>
      <c r="S157" s="262" t="str">
        <f>IF(AND(Př_b!B13&lt;&gt;"",Př_b!B13&lt;&gt;0),Př_b!B13,"")</f>
        <v/>
      </c>
      <c r="T157" s="26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4.25" hidden="1" customHeight="1">
      <c r="R158" t="str">
        <f>IF(Př_b!E14&lt;&gt;"",Př_b!E14,"")</f>
        <v/>
      </c>
      <c r="S158" s="262" t="str">
        <f>IF(AND(Př_b!B14&lt;&gt;"",Př_b!B14&lt;&gt;0),Př_b!B14,"")</f>
        <v/>
      </c>
      <c r="T158" s="26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4.25" hidden="1" customHeight="1">
      <c r="R159" t="str">
        <f>IF(Př_b!E15&lt;&gt;"",Př_b!E15,"")</f>
        <v/>
      </c>
      <c r="S159" s="262" t="str">
        <f>IF(AND(Př_b!B15&lt;&gt;"",Př_b!B15&lt;&gt;0),Př_b!B15,"")</f>
        <v/>
      </c>
      <c r="T159" s="26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4.25" hidden="1" customHeight="1">
      <c r="R160" t="str">
        <f>IF(Př_b!E16&lt;&gt;"",Př_b!E16,"")</f>
        <v/>
      </c>
      <c r="S160" s="262" t="str">
        <f>IF(AND(Př_b!B16&lt;&gt;"",Př_b!B16&lt;&gt;0),Př_b!B16,"")</f>
        <v/>
      </c>
      <c r="T160" s="26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4.25" hidden="1" customHeight="1">
      <c r="R161" t="str">
        <f>IF(Př_b!E17&lt;&gt;"",Př_b!E17,"")</f>
        <v/>
      </c>
      <c r="S161" s="262" t="str">
        <f>IF(AND(Př_b!B17&lt;&gt;"",Př_b!B17&lt;&gt;0),Př_b!B17,"")</f>
        <v/>
      </c>
      <c r="T161" s="26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4.25" hidden="1" customHeight="1">
      <c r="R162" t="str">
        <f>IF(Př_b!E18&lt;&gt;"",Př_b!E18,"")</f>
        <v/>
      </c>
      <c r="S162" s="262" t="str">
        <f>IF(AND(Př_b!B18&lt;&gt;"",Př_b!B18&lt;&gt;0),Př_b!B18,"")</f>
        <v/>
      </c>
      <c r="T162" s="26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4.25" hidden="1" customHeight="1">
      <c r="R163" t="str">
        <f>IF(Př_b!E19&lt;&gt;"",Př_b!E19,"")</f>
        <v/>
      </c>
      <c r="S163" s="262" t="str">
        <f>IF(AND(Př_b!B19&lt;&gt;"",Př_b!B19&lt;&gt;0),Př_b!B19,"")</f>
        <v/>
      </c>
      <c r="T163" s="26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4.25" hidden="1" customHeight="1">
      <c r="R164" t="str">
        <f>IF(Př_b!E20&lt;&gt;"",Př_b!E20,"")</f>
        <v/>
      </c>
      <c r="S164" s="262" t="str">
        <f>IF(AND(Př_b!B20&lt;&gt;"",Př_b!B20&lt;&gt;0),Př_b!B20,"")</f>
        <v/>
      </c>
      <c r="T164" s="26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4.25" hidden="1" customHeight="1">
      <c r="R165" t="str">
        <f>IF(Př_b!E21&lt;&gt;"",Př_b!E21,"")</f>
        <v/>
      </c>
      <c r="S165" s="262" t="str">
        <f>IF(AND(Př_b!B21&lt;&gt;"",Př_b!B21&lt;&gt;0),Př_b!B21,"")</f>
        <v/>
      </c>
      <c r="T165" s="26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4.25" hidden="1" customHeight="1">
      <c r="R166" t="str">
        <f>IF(Př_b!E22&lt;&gt;"",Př_b!E22,"")</f>
        <v/>
      </c>
      <c r="S166" s="262" t="str">
        <f>IF(AND(Př_b!B22&lt;&gt;"",Př_b!B22&lt;&gt;0),Př_b!B22,"")</f>
        <v/>
      </c>
      <c r="T166" s="26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4.25" hidden="1" customHeight="1">
      <c r="R167" t="str">
        <f>IF(Př_b!E23&lt;&gt;"",Př_b!E23,"")</f>
        <v/>
      </c>
      <c r="S167" s="262" t="str">
        <f>IF(AND(Př_b!B23&lt;&gt;"",Př_b!B23&lt;&gt;0),Př_b!B23,"")</f>
        <v/>
      </c>
      <c r="T167" s="26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4.25" hidden="1" customHeight="1">
      <c r="R168" t="str">
        <f>IF(Př_b!E24&lt;&gt;"",Př_b!E24,"")</f>
        <v/>
      </c>
      <c r="S168" s="262" t="str">
        <f>IF(AND(Př_b!B24&lt;&gt;"",Př_b!B24&lt;&gt;0),Př_b!B24,"")</f>
        <v/>
      </c>
      <c r="T168" s="26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4.25" hidden="1" customHeight="1">
      <c r="R169" t="str">
        <f>IF(Př_b!E25&lt;&gt;"",Př_b!E25,"")</f>
        <v/>
      </c>
      <c r="S169" s="262" t="str">
        <f>IF(AND(Př_b!B25&lt;&gt;"",Př_b!B25&lt;&gt;0),Př_b!B25,"")</f>
        <v/>
      </c>
      <c r="T169" s="26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4.25" hidden="1" customHeight="1">
      <c r="R171" s="268" t="s">
        <v>3350</v>
      </c>
      <c r="S171" s="268" t="s">
        <v>3350</v>
      </c>
      <c r="T171" s="268" t="s">
        <v>3350</v>
      </c>
      <c r="U171" s="268" t="s">
        <v>3350</v>
      </c>
      <c r="V171" s="268" t="s">
        <v>3350</v>
      </c>
    </row>
    <row r="176" spans="18:28" ht="14.25" hidden="1" customHeight="1">
      <c r="AB176">
        <v>1</v>
      </c>
    </row>
    <row r="177" spans="17:55" ht="14.25" hidden="1" customHeight="1">
      <c r="Q177" t="s">
        <v>631</v>
      </c>
      <c r="R177" s="261" t="s">
        <v>633</v>
      </c>
      <c r="S177" s="264" t="s">
        <v>634</v>
      </c>
      <c r="T177" s="264" t="s">
        <v>635</v>
      </c>
      <c r="U177" s="264" t="s">
        <v>636</v>
      </c>
      <c r="V177" s="264" t="s">
        <v>637</v>
      </c>
      <c r="W177" s="264" t="s">
        <v>638</v>
      </c>
      <c r="Y177" s="268" t="s">
        <v>3552</v>
      </c>
      <c r="Z177" s="268" t="s">
        <v>3553</v>
      </c>
      <c r="AA177" s="268" t="s">
        <v>3554</v>
      </c>
      <c r="AB177" s="261" t="s">
        <v>633</v>
      </c>
      <c r="AC177" s="264" t="s">
        <v>634</v>
      </c>
      <c r="AD177" s="264" t="s">
        <v>639</v>
      </c>
      <c r="AE177" s="264" t="s">
        <v>640</v>
      </c>
      <c r="AI177" t="s">
        <v>632</v>
      </c>
      <c r="AJ177" s="261" t="s">
        <v>633</v>
      </c>
      <c r="AK177" s="264" t="s">
        <v>634</v>
      </c>
      <c r="AL177" s="264" t="s">
        <v>639</v>
      </c>
      <c r="AM177" s="264" t="s">
        <v>640</v>
      </c>
      <c r="AP177" t="s">
        <v>641</v>
      </c>
      <c r="AQ177" s="261" t="s">
        <v>633</v>
      </c>
      <c r="AR177" s="264" t="s">
        <v>634</v>
      </c>
      <c r="AS177" s="264" t="s">
        <v>639</v>
      </c>
      <c r="AT177" s="264" t="s">
        <v>640</v>
      </c>
      <c r="AV177" s="268" t="s">
        <v>3552</v>
      </c>
      <c r="AW177" s="268" t="s">
        <v>3553</v>
      </c>
      <c r="AX177" s="268" t="s">
        <v>3554</v>
      </c>
      <c r="AY177" t="s">
        <v>642</v>
      </c>
      <c r="AZ177" s="261" t="s">
        <v>633</v>
      </c>
      <c r="BA177" s="264" t="s">
        <v>634</v>
      </c>
      <c r="BB177" s="264" t="s">
        <v>639</v>
      </c>
      <c r="BC177" s="264" t="s">
        <v>640</v>
      </c>
    </row>
    <row r="178" spans="17:55" ht="14.25" hidden="1" customHeight="1">
      <c r="Q178">
        <v>1</v>
      </c>
      <c r="R178">
        <f t="shared" ref="R178:R209" si="1">$Q$178</f>
        <v>1</v>
      </c>
      <c r="S178" s="321" t="e">
        <f t="shared" ref="S178:S241" si="2">IF($B$38="P",Y178,IF($B$38="Z",IF(Z178&lt;&gt;"",Z178,""),IF($B$38="M",IF(AA178&lt;&gt;"",AA178,""),Y178)))</f>
        <v>#REF!</v>
      </c>
      <c r="T178" s="395" t="e">
        <f>IF($B$38="P",IF(#REF!&lt;&gt;"",#REF!,""),IF($B$38="Z",IF(#REF!&lt;&gt;"",#REF!,""),IF($B$38="M",IF(#REF!&lt;&gt;"",#REF!,""),"")))</f>
        <v>#REF!</v>
      </c>
      <c r="U178" s="395" t="e">
        <f>IF($B$38="P",IF(#REF!&lt;&gt;"",ABS(#REF!),""),IF($B$38="Z",IF(#REF!&lt;&gt;"",ABS(#REF!),""),IF($B$38="M",IF(#REF!&lt;&gt;"",ABS(#REF!),""),"")))</f>
        <v>#REF!</v>
      </c>
      <c r="V178" s="395" t="e">
        <f>IF($B$38="P",IF(#REF!&lt;&gt;"",#REF!,""),IF($B$38="Z",IF(#REF!&lt;&gt;"",#REF!,""),IF($B$38="M",IF(#REF!&lt;&gt;"",#REF!,""),"")))</f>
        <v>#REF!</v>
      </c>
      <c r="W178" s="395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21" t="e">
        <f>IF($B$38="P",AG178,IF(AH178&lt;&gt;"",AH178,""))</f>
        <v>#REF!</v>
      </c>
      <c r="AD178" s="395" t="e">
        <f>IF($B$38="P",IF(#REF!&lt;&gt;"",#REF!,""),IF(#REF!&lt;&gt;"",#REF!,""))</f>
        <v>#REF!</v>
      </c>
      <c r="AE178" s="395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1" t="e">
        <f t="shared" ref="AR178:AR241" si="5">IF($B$38="P",AV178,IF($B$38="Z",IF(AW178&lt;&gt;"",AW178,""),IF($B$38="M",IF(AX178&lt;&gt;"",AX178,""),AV178)))</f>
        <v>#REF!</v>
      </c>
      <c r="AS178" s="395" t="e">
        <f>IF($B$38="P",IF(#REF!&lt;&gt;"",#REF!,""),IF($B$38="Z",IF(#REF!&lt;&gt;"",#REF!,""),IF($B$38="M",IF(#REF!&lt;&gt;"",#REF!,""),"")))</f>
        <v>#REF!</v>
      </c>
      <c r="AT178" s="395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4.25" hidden="1" customHeight="1">
      <c r="R179">
        <f t="shared" si="1"/>
        <v>1</v>
      </c>
      <c r="S179" s="321" t="e">
        <f t="shared" si="2"/>
        <v>#REF!</v>
      </c>
      <c r="T179" s="395" t="e">
        <f>IF($B$38="P",IF(#REF!&lt;&gt;"",#REF!,""),IF($B$38="Z",IF(#REF!&lt;&gt;"",#REF!,""),IF($B$38="M",IF(#REF!&lt;&gt;"",#REF!,""),"")))</f>
        <v>#REF!</v>
      </c>
      <c r="U179" s="395" t="e">
        <f>IF($B$38="P",IF(#REF!&lt;&gt;"",ABS(#REF!),""),IF($B$38="Z",IF(#REF!&lt;&gt;"",ABS(#REF!),""),IF($B$38="M",IF(#REF!&lt;&gt;"",ABS(#REF!),""),"")))</f>
        <v>#REF!</v>
      </c>
      <c r="V179" s="395" t="e">
        <f>IF($B$38="P",IF(#REF!&lt;&gt;"",#REF!,""),IF($B$38="Z",IF(#REF!&lt;&gt;"",#REF!,""),IF($B$38="M",IF(#REF!&lt;&gt;"",#REF!,""),"")))</f>
        <v>#REF!</v>
      </c>
      <c r="W179" s="395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21" t="e">
        <f t="shared" ref="AC179:AC233" si="6">IF($B$38="P",AG179,IF(AH179&lt;&gt;"",AH179,""))</f>
        <v>#REF!</v>
      </c>
      <c r="AD179" s="395" t="e">
        <f>IF($B$38="P",IF(#REF!&lt;&gt;"",#REF!,""),IF(#REF!&lt;&gt;"",#REF!,""))</f>
        <v>#REF!</v>
      </c>
      <c r="AE179" s="395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21" t="e">
        <f t="shared" si="5"/>
        <v>#REF!</v>
      </c>
      <c r="AS179" s="395" t="e">
        <f>IF($B$38="P",IF(#REF!&lt;&gt;"",#REF!,""),IF($B$38="Z",IF(#REF!&lt;&gt;"",#REF!,""),IF($B$38="M",IF(#REF!&lt;&gt;"",#REF!,""),"")))</f>
        <v>#REF!</v>
      </c>
      <c r="AT179" s="395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4.25" hidden="1" customHeight="1">
      <c r="R180" s="268">
        <f t="shared" si="1"/>
        <v>1</v>
      </c>
      <c r="S180" s="321" t="e">
        <f t="shared" si="2"/>
        <v>#REF!</v>
      </c>
      <c r="T180" s="395" t="e">
        <f>IF($B$38="P",IF(#REF!&lt;&gt;"",#REF!,""),IF($B$38="Z",IF(#REF!&lt;&gt;"",#REF!,""),IF($B$38="M",IF(#REF!&lt;&gt;"",#REF!,""),"")))</f>
        <v>#REF!</v>
      </c>
      <c r="U180" s="395" t="e">
        <f>IF($B$38="P",IF(#REF!&lt;&gt;"",ABS(#REF!),""),IF($B$38="Z",IF(#REF!&lt;&gt;"",ABS(#REF!),""),IF($B$38="M",IF(#REF!&lt;&gt;"",ABS(#REF!),""),"")))</f>
        <v>#REF!</v>
      </c>
      <c r="V180" s="395" t="e">
        <f>IF($B$38="P",IF(#REF!&lt;&gt;"",#REF!,""),IF($B$38="Z",IF(#REF!&lt;&gt;"",#REF!,""),IF($B$38="M",IF(#REF!&lt;&gt;"",#REF!,""),"")))</f>
        <v>#REF!</v>
      </c>
      <c r="W180" s="395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21" t="e">
        <f t="shared" si="6"/>
        <v>#REF!</v>
      </c>
      <c r="AD180" s="395" t="e">
        <f>IF($B$38="P",IF(#REF!&lt;&gt;"",#REF!,""),IF(#REF!&lt;&gt;"",#REF!,""))</f>
        <v>#REF!</v>
      </c>
      <c r="AE180" s="395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21" t="e">
        <f t="shared" si="5"/>
        <v>#REF!</v>
      </c>
      <c r="AS180" s="395" t="e">
        <f>IF($B$38="P",IF(#REF!&lt;&gt;"",#REF!,""),IF($B$38="Z",IF(#REF!&lt;&gt;"",#REF!,""),IF($B$38="M",IF(#REF!&lt;&gt;"",#REF!,""),"")))</f>
        <v>#REF!</v>
      </c>
      <c r="AT180" s="395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4.25" hidden="1" customHeight="1">
      <c r="R181">
        <f t="shared" si="1"/>
        <v>1</v>
      </c>
      <c r="S181" s="321" t="e">
        <f t="shared" si="2"/>
        <v>#REF!</v>
      </c>
      <c r="T181" s="395" t="e">
        <f>IF($B$38="P",IF(#REF!&lt;&gt;"",#REF!,""),IF($B$38="Z",IF(#REF!&lt;&gt;"",#REF!,""),IF($B$38="M",IF(#REF!&lt;&gt;"",#REF!,""),"")))</f>
        <v>#REF!</v>
      </c>
      <c r="U181" s="395" t="e">
        <f>IF($B$38="P",IF(#REF!&lt;&gt;"",ABS(#REF!),""),IF($B$38="Z",IF(#REF!&lt;&gt;"",ABS(#REF!),""),IF($B$38="M",IF(#REF!&lt;&gt;"",ABS(#REF!),""),"")))</f>
        <v>#REF!</v>
      </c>
      <c r="V181" s="395" t="e">
        <f>IF($B$38="P",IF(#REF!&lt;&gt;"",#REF!,""),IF($B$38="Z",IF(#REF!&lt;&gt;"",#REF!,""),IF($B$38="M",IF(#REF!&lt;&gt;"",#REF!,""),"")))</f>
        <v>#REF!</v>
      </c>
      <c r="W181" s="395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21" t="e">
        <f t="shared" si="6"/>
        <v>#REF!</v>
      </c>
      <c r="AD181" s="395" t="e">
        <f>IF($B$38="P",IF(#REF!&lt;&gt;"",#REF!,""),IF(#REF!&lt;&gt;"",#REF!,""))</f>
        <v>#REF!</v>
      </c>
      <c r="AE181" s="395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21" t="e">
        <f t="shared" si="5"/>
        <v>#REF!</v>
      </c>
      <c r="AS181" s="395" t="e">
        <f>IF($B$38="P",IF(#REF!&lt;&gt;"",#REF!,""),IF($B$38="Z",IF(#REF!&lt;&gt;"",#REF!,""),IF($B$38="M",IF(#REF!&lt;&gt;"",#REF!,""),"")))</f>
        <v>#REF!</v>
      </c>
      <c r="AT181" s="395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4.25" hidden="1" customHeight="1">
      <c r="R182">
        <f t="shared" si="1"/>
        <v>1</v>
      </c>
      <c r="S182" s="321" t="e">
        <f t="shared" si="2"/>
        <v>#REF!</v>
      </c>
      <c r="T182" s="395" t="e">
        <f>IF($B$38="P",IF(#REF!&lt;&gt;"",#REF!,""),IF($B$38="Z",IF(#REF!&lt;&gt;"",#REF!,""),IF($B$38="M",IF(#REF!&lt;&gt;"",#REF!,""),"")))</f>
        <v>#REF!</v>
      </c>
      <c r="U182" s="395" t="e">
        <f>IF($B$38="P",IF(#REF!&lt;&gt;"",ABS(#REF!),""),IF($B$38="Z",IF(#REF!&lt;&gt;"",ABS(#REF!),""),IF($B$38="M",IF(#REF!&lt;&gt;"",ABS(#REF!),""),"")))</f>
        <v>#REF!</v>
      </c>
      <c r="V182" s="395" t="e">
        <f>IF($B$38="P",IF(#REF!&lt;&gt;"",#REF!,""),IF($B$38="Z",IF(#REF!&lt;&gt;"",#REF!,""),IF($B$38="M",IF(#REF!&lt;&gt;"",#REF!,""),"")))</f>
        <v>#REF!</v>
      </c>
      <c r="W182" s="395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21" t="e">
        <f t="shared" si="6"/>
        <v>#REF!</v>
      </c>
      <c r="AD182" s="395" t="e">
        <f>IF($B$38="P",IF(#REF!&lt;&gt;"",#REF!,""),IF(#REF!&lt;&gt;"",#REF!,""))</f>
        <v>#REF!</v>
      </c>
      <c r="AE182" s="395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21" t="e">
        <f t="shared" si="5"/>
        <v>#REF!</v>
      </c>
      <c r="AS182" s="395" t="e">
        <f>IF($B$38="P",IF(#REF!&lt;&gt;"",#REF!,""),IF($B$38="Z",IF(#REF!&lt;&gt;"",#REF!,""),IF($B$38="M",IF(#REF!&lt;&gt;"",#REF!,""),"")))</f>
        <v>#REF!</v>
      </c>
      <c r="AT182" s="395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4.25" hidden="1" customHeight="1">
      <c r="R183">
        <f t="shared" si="1"/>
        <v>1</v>
      </c>
      <c r="S183" s="321" t="e">
        <f t="shared" si="2"/>
        <v>#REF!</v>
      </c>
      <c r="T183" s="395" t="e">
        <f>IF($B$38="P",IF(#REF!&lt;&gt;"",#REF!,""),IF($B$38="Z",IF(#REF!&lt;&gt;"",#REF!,""),""))</f>
        <v>#REF!</v>
      </c>
      <c r="U183" s="395" t="e">
        <f>IF($B$38="P",IF(#REF!&lt;&gt;"",ABS(#REF!),""),IF($B$38="Z",IF(#REF!&lt;&gt;"",ABS(#REF!),""),""))</f>
        <v>#REF!</v>
      </c>
      <c r="V183" s="395" t="e">
        <f>IF($B$38="P",IF(#REF!&lt;&gt;"",#REF!,""),IF($B$38="Z",IF(#REF!&lt;&gt;"",#REF!,""),""))</f>
        <v>#REF!</v>
      </c>
      <c r="W183" s="395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21" t="e">
        <f t="shared" si="6"/>
        <v>#REF!</v>
      </c>
      <c r="AD183" s="395" t="e">
        <f>IF($B$38="P",IF(#REF!&lt;&gt;"",#REF!,""),IF(#REF!&lt;&gt;"",#REF!,""))</f>
        <v>#REF!</v>
      </c>
      <c r="AE183" s="395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21" t="e">
        <f t="shared" si="5"/>
        <v>#REF!</v>
      </c>
      <c r="AS183" s="395" t="e">
        <f>IF($B$38="P",IF(#REF!&lt;&gt;"",#REF!,""),IF($B$38="Z",IF(#REF!&lt;&gt;"",#REF!,""),IF($B$38="M",IF(#REF!&lt;&gt;"",#REF!,""),"")))</f>
        <v>#REF!</v>
      </c>
      <c r="AT183" s="395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4.25" hidden="1" customHeight="1">
      <c r="R184">
        <f t="shared" si="1"/>
        <v>1</v>
      </c>
      <c r="S184" s="321" t="e">
        <f t="shared" si="2"/>
        <v>#REF!</v>
      </c>
      <c r="T184" s="395" t="e">
        <f>IF($B$38="P",IF(#REF!&lt;&gt;"",#REF!,""),IF($B$38="Z",IF(#REF!&lt;&gt;"",#REF!,""),""))</f>
        <v>#REF!</v>
      </c>
      <c r="U184" s="395" t="e">
        <f>IF($B$38="P",IF(#REF!&lt;&gt;"",ABS(#REF!),""),IF($B$38="Z",IF(#REF!&lt;&gt;"",ABS(#REF!),""),""))</f>
        <v>#REF!</v>
      </c>
      <c r="V184" s="395" t="e">
        <f>IF($B$38="P",IF(#REF!&lt;&gt;"",#REF!,""),IF($B$38="Z",IF(#REF!&lt;&gt;"",#REF!,""),""))</f>
        <v>#REF!</v>
      </c>
      <c r="W184" s="395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21" t="e">
        <f t="shared" si="6"/>
        <v>#REF!</v>
      </c>
      <c r="AD184" s="395" t="e">
        <f>IF($B$38="P",IF(#REF!&lt;&gt;"",#REF!,""),IF(#REF!&lt;&gt;"",#REF!,""))</f>
        <v>#REF!</v>
      </c>
      <c r="AE184" s="395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21" t="e">
        <f t="shared" si="5"/>
        <v>#REF!</v>
      </c>
      <c r="AS184" s="395" t="e">
        <f>IF($B$38="P",IF(#REF!&lt;&gt;"",#REF!,""),IF($B$38="Z",IF(#REF!&lt;&gt;"",#REF!,""),""))</f>
        <v>#REF!</v>
      </c>
      <c r="AT184" s="395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4.25" hidden="1" customHeight="1">
      <c r="R185">
        <f t="shared" si="1"/>
        <v>1</v>
      </c>
      <c r="S185" s="321" t="e">
        <f t="shared" si="2"/>
        <v>#REF!</v>
      </c>
      <c r="T185" s="395" t="e">
        <f>IF($B$38="P",IF(#REF!&lt;&gt;"",#REF!,""),IF($B$38="Z",IF(#REF!&lt;&gt;"",#REF!,""),""))</f>
        <v>#REF!</v>
      </c>
      <c r="U185" s="395" t="e">
        <f>IF($B$38="P",IF(#REF!&lt;&gt;"",ABS(#REF!),""),IF($B$38="Z",IF(#REF!&lt;&gt;"",ABS(#REF!),""),""))</f>
        <v>#REF!</v>
      </c>
      <c r="V185" s="395" t="e">
        <f>IF($B$38="P",IF(#REF!&lt;&gt;"",#REF!,""),IF($B$38="Z",IF(#REF!&lt;&gt;"",#REF!,""),""))</f>
        <v>#REF!</v>
      </c>
      <c r="W185" s="395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21" t="e">
        <f t="shared" si="6"/>
        <v>#REF!</v>
      </c>
      <c r="AD185" s="395" t="e">
        <f>IF($B$38="P",IF(#REF!&lt;&gt;"",#REF!,""),IF(#REF!&lt;&gt;"",#REF!,""))</f>
        <v>#REF!</v>
      </c>
      <c r="AE185" s="395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21" t="e">
        <f t="shared" si="5"/>
        <v>#REF!</v>
      </c>
      <c r="AS185" s="395" t="e">
        <f>IF($B$38="P",IF(#REF!&lt;&gt;"",#REF!,""),IF($B$38="Z",IF(#REF!&lt;&gt;"",#REF!,""),""))</f>
        <v>#REF!</v>
      </c>
      <c r="AT185" s="395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4.25" hidden="1" customHeight="1">
      <c r="R186">
        <f t="shared" si="1"/>
        <v>1</v>
      </c>
      <c r="S186" s="321" t="e">
        <f t="shared" si="2"/>
        <v>#REF!</v>
      </c>
      <c r="T186" s="395" t="e">
        <f>IF($B$38="P",IF(#REF!&lt;&gt;"",#REF!,""),IF($B$38="Z",IF(#REF!&lt;&gt;"",#REF!,""),""))</f>
        <v>#REF!</v>
      </c>
      <c r="U186" s="395" t="e">
        <f>IF($B$38="P",IF(#REF!&lt;&gt;"",ABS(#REF!),""),IF($B$38="Z",IF(#REF!&lt;&gt;"",ABS(#REF!),""),""))</f>
        <v>#REF!</v>
      </c>
      <c r="V186" s="395" t="e">
        <f>IF($B$38="P",IF(#REF!&lt;&gt;"",#REF!,""),IF($B$38="Z",IF(#REF!&lt;&gt;"",#REF!,""),""))</f>
        <v>#REF!</v>
      </c>
      <c r="W186" s="395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21" t="e">
        <f t="shared" si="6"/>
        <v>#REF!</v>
      </c>
      <c r="AD186" s="395" t="e">
        <f>IF($B$38="P",IF(#REF!&lt;&gt;"",#REF!,""),IF(#REF!&lt;&gt;"",#REF!,""))</f>
        <v>#REF!</v>
      </c>
      <c r="AE186" s="395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21" t="e">
        <f t="shared" si="5"/>
        <v>#REF!</v>
      </c>
      <c r="AS186" s="395" t="e">
        <f>IF($B$38="P",IF(#REF!&lt;&gt;"",#REF!,""),IF($B$38="Z",IF(#REF!&lt;&gt;"",#REF!,""),""))</f>
        <v>#REF!</v>
      </c>
      <c r="AT186" s="395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4.25" hidden="1" customHeight="1">
      <c r="R187">
        <f t="shared" si="1"/>
        <v>1</v>
      </c>
      <c r="S187" s="321" t="e">
        <f t="shared" si="2"/>
        <v>#REF!</v>
      </c>
      <c r="T187" s="395" t="e">
        <f>IF($B$38="P",IF(#REF!&lt;&gt;"",#REF!,""),IF($B$38="Z",IF(#REF!&lt;&gt;"",#REF!,""),""))</f>
        <v>#REF!</v>
      </c>
      <c r="U187" s="395" t="e">
        <f>IF($B$38="P",IF(#REF!&lt;&gt;"",ABS(#REF!),""),IF($B$38="Z",IF(#REF!&lt;&gt;"",ABS(#REF!),""),""))</f>
        <v>#REF!</v>
      </c>
      <c r="V187" s="395" t="e">
        <f>IF($B$38="P",IF(#REF!&lt;&gt;"",#REF!,""),IF($B$38="Z",IF(#REF!&lt;&gt;"",#REF!,""),""))</f>
        <v>#REF!</v>
      </c>
      <c r="W187" s="395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21" t="e">
        <f t="shared" si="6"/>
        <v>#REF!</v>
      </c>
      <c r="AD187" s="395" t="e">
        <f>IF($B$38="P",IF(#REF!&lt;&gt;"",#REF!,""),IF(#REF!&lt;&gt;"",#REF!,""))</f>
        <v>#REF!</v>
      </c>
      <c r="AE187" s="395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21" t="e">
        <f t="shared" si="5"/>
        <v>#REF!</v>
      </c>
      <c r="AS187" s="395" t="e">
        <f>IF($B$38="P",IF(#REF!&lt;&gt;"",#REF!,""),IF($B$38="Z",IF(#REF!&lt;&gt;"",#REF!,""),""))</f>
        <v>#REF!</v>
      </c>
      <c r="AT187" s="395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4.25" hidden="1" customHeight="1">
      <c r="R188">
        <f t="shared" si="1"/>
        <v>1</v>
      </c>
      <c r="S188" s="321" t="e">
        <f t="shared" si="2"/>
        <v>#REF!</v>
      </c>
      <c r="T188" s="395" t="e">
        <f>IF($B$38="P",IF(#REF!&lt;&gt;"",#REF!,""),IF($B$38="Z",IF(#REF!&lt;&gt;"",#REF!,""),""))</f>
        <v>#REF!</v>
      </c>
      <c r="U188" s="395" t="e">
        <f>IF($B$38="P",IF(#REF!&lt;&gt;"",ABS(#REF!),""),IF($B$38="Z",IF(#REF!&lt;&gt;"",ABS(#REF!),""),""))</f>
        <v>#REF!</v>
      </c>
      <c r="V188" s="395" t="e">
        <f>IF($B$38="P",IF(#REF!&lt;&gt;"",#REF!,""),IF($B$38="Z",IF(#REF!&lt;&gt;"",#REF!,""),""))</f>
        <v>#REF!</v>
      </c>
      <c r="W188" s="395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21" t="e">
        <f t="shared" si="6"/>
        <v>#REF!</v>
      </c>
      <c r="AD188" s="395" t="e">
        <f>IF($B$38="P",IF(#REF!&lt;&gt;"",#REF!,""),IF(#REF!&lt;&gt;"",#REF!,""))</f>
        <v>#REF!</v>
      </c>
      <c r="AE188" s="395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21" t="e">
        <f t="shared" si="5"/>
        <v>#REF!</v>
      </c>
      <c r="AS188" s="395" t="e">
        <f>IF($B$38="P",IF(#REF!&lt;&gt;"",#REF!,""),IF($B$38="Z",IF(#REF!&lt;&gt;"",#REF!,""),""))</f>
        <v>#REF!</v>
      </c>
      <c r="AT188" s="395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4.25" hidden="1" customHeight="1">
      <c r="R189">
        <f t="shared" si="1"/>
        <v>1</v>
      </c>
      <c r="S189" s="321" t="e">
        <f t="shared" si="2"/>
        <v>#REF!</v>
      </c>
      <c r="T189" s="395" t="e">
        <f>IF($B$38="P",IF(#REF!&lt;&gt;"",#REF!,""),IF($B$38="Z",IF(#REF!&lt;&gt;"",#REF!,""),""))</f>
        <v>#REF!</v>
      </c>
      <c r="U189" s="395" t="e">
        <f>IF($B$38="P",IF(#REF!&lt;&gt;"",ABS(#REF!),""),IF($B$38="Z",IF(#REF!&lt;&gt;"",ABS(#REF!),""),""))</f>
        <v>#REF!</v>
      </c>
      <c r="V189" s="395" t="e">
        <f>IF($B$38="P",IF(#REF!&lt;&gt;"",#REF!,""),IF($B$38="Z",IF(#REF!&lt;&gt;"",#REF!,""),""))</f>
        <v>#REF!</v>
      </c>
      <c r="W189" s="395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21" t="e">
        <f t="shared" si="6"/>
        <v>#REF!</v>
      </c>
      <c r="AD189" s="395" t="e">
        <f>IF($B$38="P",IF(#REF!&lt;&gt;"",#REF!,""),IF(#REF!&lt;&gt;"",#REF!,""))</f>
        <v>#REF!</v>
      </c>
      <c r="AE189" s="395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21" t="e">
        <f t="shared" si="5"/>
        <v>#REF!</v>
      </c>
      <c r="AS189" s="395" t="e">
        <f>IF($B$38="P",IF(#REF!&lt;&gt;"",#REF!,""),IF($B$38="Z",IF(#REF!&lt;&gt;"",#REF!,""),""))</f>
        <v>#REF!</v>
      </c>
      <c r="AT189" s="395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4.25" hidden="1" customHeight="1">
      <c r="R190">
        <f t="shared" si="1"/>
        <v>1</v>
      </c>
      <c r="S190" s="321" t="e">
        <f t="shared" si="2"/>
        <v>#REF!</v>
      </c>
      <c r="T190" s="395" t="e">
        <f>IF($B$38="P",IF(#REF!&lt;&gt;"",#REF!,""),IF($B$38="Z",IF(#REF!&lt;&gt;"",#REF!,""),""))</f>
        <v>#REF!</v>
      </c>
      <c r="U190" s="395" t="e">
        <f>IF($B$38="P",IF(#REF!&lt;&gt;"",ABS(#REF!),""),IF($B$38="Z",IF(#REF!&lt;&gt;"",ABS(#REF!),""),""))</f>
        <v>#REF!</v>
      </c>
      <c r="V190" s="395" t="e">
        <f>IF($B$38="P",IF(#REF!&lt;&gt;"",#REF!,""),IF($B$38="Z",IF(#REF!&lt;&gt;"",#REF!,""),""))</f>
        <v>#REF!</v>
      </c>
      <c r="W190" s="395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21" t="e">
        <f t="shared" si="6"/>
        <v>#REF!</v>
      </c>
      <c r="AD190" s="395" t="e">
        <f>IF($B$38="P",IF(#REF!&lt;&gt;"",#REF!,""),IF(#REF!&lt;&gt;"",#REF!,""))</f>
        <v>#REF!</v>
      </c>
      <c r="AE190" s="395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21" t="e">
        <f t="shared" si="5"/>
        <v>#REF!</v>
      </c>
      <c r="AS190" s="395" t="e">
        <f>IF($B$38="P",IF(#REF!&lt;&gt;"",#REF!,""),IF($B$38="Z",IF(#REF!&lt;&gt;"",#REF!,""),""))</f>
        <v>#REF!</v>
      </c>
      <c r="AT190" s="395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4.25" hidden="1" customHeight="1">
      <c r="R191">
        <f t="shared" si="1"/>
        <v>1</v>
      </c>
      <c r="S191" s="321" t="e">
        <f t="shared" si="2"/>
        <v>#REF!</v>
      </c>
      <c r="T191" s="395" t="e">
        <f>IF($B$38="P",IF(#REF!&lt;&gt;"",#REF!,""),IF($B$38="Z",IF(#REF!&lt;&gt;"",#REF!,""),""))</f>
        <v>#REF!</v>
      </c>
      <c r="U191" s="395" t="e">
        <f>IF($B$38="P",IF(#REF!&lt;&gt;"",ABS(#REF!),""),IF($B$38="Z",IF(#REF!&lt;&gt;"",ABS(#REF!),""),""))</f>
        <v>#REF!</v>
      </c>
      <c r="V191" s="395" t="e">
        <f>IF($B$38="P",IF(#REF!&lt;&gt;"",#REF!,""),IF($B$38="Z",IF(#REF!&lt;&gt;"",#REF!,""),""))</f>
        <v>#REF!</v>
      </c>
      <c r="W191" s="395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21" t="e">
        <f t="shared" si="6"/>
        <v>#REF!</v>
      </c>
      <c r="AD191" s="395" t="e">
        <f>IF($B$38="P",IF(#REF!&lt;&gt;"",#REF!,""),IF(#REF!&lt;&gt;"",#REF!,""))</f>
        <v>#REF!</v>
      </c>
      <c r="AE191" s="395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21" t="e">
        <f t="shared" si="5"/>
        <v>#REF!</v>
      </c>
      <c r="AS191" s="395" t="e">
        <f>IF($B$38="P",IF(#REF!&lt;&gt;"",#REF!,""),IF($B$38="Z",IF(#REF!&lt;&gt;"",#REF!,""),""))</f>
        <v>#REF!</v>
      </c>
      <c r="AT191" s="395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4.25" hidden="1" customHeight="1">
      <c r="R192">
        <f t="shared" si="1"/>
        <v>1</v>
      </c>
      <c r="S192" s="321" t="e">
        <f t="shared" si="2"/>
        <v>#REF!</v>
      </c>
      <c r="T192" s="395" t="e">
        <f>IF($B$38="P",IF(#REF!&lt;&gt;"",#REF!,""),"")</f>
        <v>#REF!</v>
      </c>
      <c r="U192" s="395" t="e">
        <f>IF($B$38="P",IF(#REF!&lt;&gt;"",ABS(#REF!),""),"")</f>
        <v>#REF!</v>
      </c>
      <c r="V192" s="395" t="e">
        <f>IF($B$38="P",IF(#REF!&lt;&gt;"",#REF!,""),"")</f>
        <v>#REF!</v>
      </c>
      <c r="W192" s="395" t="e">
        <f>IF($B$38="P",IF(#REF!&lt;&gt;"",#REF!,""),"")</f>
        <v>#REF!</v>
      </c>
      <c r="Y192">
        <v>15</v>
      </c>
      <c r="AB192">
        <f t="shared" si="3"/>
        <v>1</v>
      </c>
      <c r="AC192" s="321" t="e">
        <f t="shared" si="6"/>
        <v>#REF!</v>
      </c>
      <c r="AD192" s="395" t="e">
        <f>IF($B$38="P",IF(#REF!&lt;&gt;"",#REF!,""),IF(#REF!&lt;&gt;"",#REF!,""))</f>
        <v>#REF!</v>
      </c>
      <c r="AE192" s="395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21" t="e">
        <f t="shared" si="5"/>
        <v>#REF!</v>
      </c>
      <c r="AS192" s="395" t="e">
        <f>IF($B$38="P",IF(#REF!&lt;&gt;"",#REF!,""),"")</f>
        <v>#REF!</v>
      </c>
      <c r="AT192" s="395" t="e">
        <f>IF($B$38="P",IF(#REF!&lt;&gt;"",#REF!,""),"")</f>
        <v>#REF!</v>
      </c>
      <c r="AV192">
        <v>15</v>
      </c>
      <c r="AW192" s="324"/>
    </row>
    <row r="193" spans="18:49" ht="14.25" hidden="1" customHeight="1">
      <c r="R193">
        <f t="shared" si="1"/>
        <v>1</v>
      </c>
      <c r="S193" s="321" t="e">
        <f t="shared" si="2"/>
        <v>#REF!</v>
      </c>
      <c r="T193" s="395" t="e">
        <f>IF($B$38="P",IF(#REF!&lt;&gt;"",#REF!,""),"")</f>
        <v>#REF!</v>
      </c>
      <c r="U193" s="395" t="e">
        <f>IF($B$38="P",IF(#REF!&lt;&gt;"",ABS(#REF!),""),"")</f>
        <v>#REF!</v>
      </c>
      <c r="V193" s="395" t="e">
        <f>IF($B$38="P",IF(#REF!&lt;&gt;"",#REF!,""),"")</f>
        <v>#REF!</v>
      </c>
      <c r="W193" s="395" t="e">
        <f>IF($B$38="P",IF(#REF!&lt;&gt;"",#REF!,""),"")</f>
        <v>#REF!</v>
      </c>
      <c r="Y193">
        <v>16</v>
      </c>
      <c r="AB193">
        <f t="shared" si="3"/>
        <v>1</v>
      </c>
      <c r="AC193" s="321" t="e">
        <f t="shared" si="6"/>
        <v>#REF!</v>
      </c>
      <c r="AD193" s="395" t="e">
        <f>IF($B$38="P",IF(#REF!&lt;&gt;"",#REF!,""),IF(#REF!&lt;&gt;"",#REF!,""))</f>
        <v>#REF!</v>
      </c>
      <c r="AE193" s="395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21" t="e">
        <f t="shared" si="5"/>
        <v>#REF!</v>
      </c>
      <c r="AS193" s="395" t="e">
        <f>IF($B$38="P",IF(#REF!&lt;&gt;"",#REF!,""),"")</f>
        <v>#REF!</v>
      </c>
      <c r="AT193" s="395" t="e">
        <f>IF($B$38="P",IF(#REF!&lt;&gt;"",#REF!,""),"")</f>
        <v>#REF!</v>
      </c>
      <c r="AV193">
        <v>16</v>
      </c>
      <c r="AW193" s="324"/>
    </row>
    <row r="194" spans="18:49" ht="14.25" hidden="1" customHeight="1">
      <c r="R194">
        <f t="shared" si="1"/>
        <v>1</v>
      </c>
      <c r="S194" s="321" t="e">
        <f t="shared" si="2"/>
        <v>#REF!</v>
      </c>
      <c r="T194" s="395" t="e">
        <f>IF($B$38="P",IF(#REF!&lt;&gt;"",#REF!,""),"")</f>
        <v>#REF!</v>
      </c>
      <c r="U194" s="395" t="e">
        <f>IF($B$38="P",IF(#REF!&lt;&gt;"",ABS(#REF!),""),"")</f>
        <v>#REF!</v>
      </c>
      <c r="V194" s="395" t="e">
        <f>IF($B$38="P",IF(#REF!&lt;&gt;"",#REF!,""),"")</f>
        <v>#REF!</v>
      </c>
      <c r="W194" s="395" t="e">
        <f>IF($B$38="P",IF(#REF!&lt;&gt;"",#REF!,""),"")</f>
        <v>#REF!</v>
      </c>
      <c r="Y194">
        <v>17</v>
      </c>
      <c r="AB194">
        <f t="shared" si="3"/>
        <v>1</v>
      </c>
      <c r="AC194" s="321" t="e">
        <f t="shared" si="6"/>
        <v>#REF!</v>
      </c>
      <c r="AD194" s="395" t="e">
        <f>IF($B$38="P",IF(#REF!&lt;&gt;"",#REF!,""),IF(#REF!&lt;&gt;"",#REF!,""))</f>
        <v>#REF!</v>
      </c>
      <c r="AE194" s="395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21" t="e">
        <f t="shared" si="5"/>
        <v>#REF!</v>
      </c>
      <c r="AS194" s="395" t="e">
        <f>IF($B$38="P",IF(#REF!&lt;&gt;"",#REF!,""),"")</f>
        <v>#REF!</v>
      </c>
      <c r="AT194" s="395" t="e">
        <f>IF($B$38="P",IF(#REF!&lt;&gt;"",#REF!,""),"")</f>
        <v>#REF!</v>
      </c>
      <c r="AV194">
        <v>17</v>
      </c>
      <c r="AW194" s="324"/>
    </row>
    <row r="195" spans="18:49" ht="14.25" hidden="1" customHeight="1">
      <c r="R195">
        <f t="shared" si="1"/>
        <v>1</v>
      </c>
      <c r="S195" s="321" t="e">
        <f t="shared" si="2"/>
        <v>#REF!</v>
      </c>
      <c r="T195" s="395" t="e">
        <f>IF($B$38="P",IF(#REF!&lt;&gt;"",#REF!,""),"")</f>
        <v>#REF!</v>
      </c>
      <c r="U195" s="395" t="e">
        <f>IF($B$38="P",IF(#REF!&lt;&gt;"",ABS(#REF!),""),"")</f>
        <v>#REF!</v>
      </c>
      <c r="V195" s="395" t="e">
        <f>IF($B$38="P",IF(#REF!&lt;&gt;"",#REF!,""),"")</f>
        <v>#REF!</v>
      </c>
      <c r="W195" s="395" t="e">
        <f>IF($B$38="P",IF(#REF!&lt;&gt;"",#REF!,""),"")</f>
        <v>#REF!</v>
      </c>
      <c r="Y195">
        <v>18</v>
      </c>
      <c r="AB195">
        <f t="shared" si="3"/>
        <v>1</v>
      </c>
      <c r="AC195" s="321" t="e">
        <f t="shared" si="6"/>
        <v>#REF!</v>
      </c>
      <c r="AD195" s="395" t="e">
        <f>IF($B$38="P",IF(#REF!&lt;&gt;"",#REF!,""),IF(#REF!&lt;&gt;"",#REF!,""))</f>
        <v>#REF!</v>
      </c>
      <c r="AE195" s="395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21" t="e">
        <f t="shared" si="5"/>
        <v>#REF!</v>
      </c>
      <c r="AS195" s="395" t="e">
        <f>IF($B$38="P",IF(#REF!&lt;&gt;"",#REF!,""),"")</f>
        <v>#REF!</v>
      </c>
      <c r="AT195" s="395" t="e">
        <f>IF($B$38="P",IF(#REF!&lt;&gt;"",#REF!,""),"")</f>
        <v>#REF!</v>
      </c>
      <c r="AV195">
        <v>18</v>
      </c>
      <c r="AW195" s="324"/>
    </row>
    <row r="196" spans="18:49" ht="14.25" hidden="1" customHeight="1">
      <c r="R196">
        <f t="shared" si="1"/>
        <v>1</v>
      </c>
      <c r="S196" s="321" t="e">
        <f t="shared" si="2"/>
        <v>#REF!</v>
      </c>
      <c r="T196" s="395" t="e">
        <f>IF($B$38="P",IF(#REF!&lt;&gt;"",#REF!,""),"")</f>
        <v>#REF!</v>
      </c>
      <c r="U196" s="395" t="e">
        <f>IF($B$38="P",IF(#REF!&lt;&gt;"",ABS(#REF!),""),"")</f>
        <v>#REF!</v>
      </c>
      <c r="V196" s="395" t="e">
        <f>IF($B$38="P",IF(#REF!&lt;&gt;"",#REF!,""),"")</f>
        <v>#REF!</v>
      </c>
      <c r="W196" s="395" t="e">
        <f>IF($B$38="P",IF(#REF!&lt;&gt;"",#REF!,""),"")</f>
        <v>#REF!</v>
      </c>
      <c r="Y196">
        <v>19</v>
      </c>
      <c r="AB196">
        <f t="shared" si="3"/>
        <v>1</v>
      </c>
      <c r="AC196" s="321" t="e">
        <f t="shared" si="6"/>
        <v>#REF!</v>
      </c>
      <c r="AD196" s="395" t="e">
        <f>IF($B$38="P",IF(#REF!&lt;&gt;"",#REF!,""),IF(#REF!&lt;&gt;"",#REF!,""))</f>
        <v>#REF!</v>
      </c>
      <c r="AE196" s="395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21" t="e">
        <f t="shared" si="5"/>
        <v>#REF!</v>
      </c>
      <c r="AS196" s="395" t="e">
        <f>IF($B$38="P",IF(#REF!&lt;&gt;"",#REF!,""),"")</f>
        <v>#REF!</v>
      </c>
      <c r="AT196" s="395" t="e">
        <f>IF($B$38="P",IF(#REF!&lt;&gt;"",#REF!,""),"")</f>
        <v>#REF!</v>
      </c>
      <c r="AV196">
        <v>19</v>
      </c>
      <c r="AW196" s="324"/>
    </row>
    <row r="197" spans="18:49" ht="14.25" hidden="1" customHeight="1">
      <c r="R197">
        <f t="shared" si="1"/>
        <v>1</v>
      </c>
      <c r="S197" s="321" t="e">
        <f t="shared" si="2"/>
        <v>#REF!</v>
      </c>
      <c r="T197" s="395" t="e">
        <f>IF($B$38="P",IF(#REF!&lt;&gt;"",#REF!,""),"")</f>
        <v>#REF!</v>
      </c>
      <c r="U197" s="395" t="e">
        <f>IF($B$38="P",IF(#REF!&lt;&gt;"",ABS(#REF!),""),"")</f>
        <v>#REF!</v>
      </c>
      <c r="V197" s="395" t="e">
        <f>IF($B$38="P",IF(#REF!&lt;&gt;"",#REF!,""),"")</f>
        <v>#REF!</v>
      </c>
      <c r="W197" s="395" t="e">
        <f>IF($B$38="P",IF(#REF!&lt;&gt;"",#REF!,""),"")</f>
        <v>#REF!</v>
      </c>
      <c r="Y197">
        <v>20</v>
      </c>
      <c r="AB197">
        <f t="shared" si="3"/>
        <v>1</v>
      </c>
      <c r="AC197" s="321" t="e">
        <f t="shared" si="6"/>
        <v>#REF!</v>
      </c>
      <c r="AD197" s="395" t="e">
        <f>IF($B$38="P",IF(#REF!&lt;&gt;"",#REF!,""),IF(#REF!&lt;&gt;"",#REF!,""))</f>
        <v>#REF!</v>
      </c>
      <c r="AE197" s="395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21" t="e">
        <f t="shared" si="5"/>
        <v>#REF!</v>
      </c>
      <c r="AS197" s="395" t="e">
        <f>IF($B$38="P",IF(#REF!&lt;&gt;"",#REF!,""),"")</f>
        <v>#REF!</v>
      </c>
      <c r="AT197" s="395" t="e">
        <f>IF($B$38="P",IF(#REF!&lt;&gt;"",#REF!,""),"")</f>
        <v>#REF!</v>
      </c>
      <c r="AV197">
        <v>20</v>
      </c>
      <c r="AW197" s="324"/>
    </row>
    <row r="198" spans="18:49" ht="14.25" hidden="1" customHeight="1">
      <c r="R198">
        <f t="shared" si="1"/>
        <v>1</v>
      </c>
      <c r="S198" s="321" t="e">
        <f t="shared" si="2"/>
        <v>#REF!</v>
      </c>
      <c r="T198" s="395" t="e">
        <f>IF($B$38="P",IF(#REF!&lt;&gt;"",#REF!,""),"")</f>
        <v>#REF!</v>
      </c>
      <c r="U198" s="395" t="e">
        <f>IF($B$38="P",IF(#REF!&lt;&gt;"",ABS(#REF!),""),"")</f>
        <v>#REF!</v>
      </c>
      <c r="V198" s="395" t="e">
        <f>IF($B$38="P",IF(#REF!&lt;&gt;"",#REF!,""),"")</f>
        <v>#REF!</v>
      </c>
      <c r="W198" s="395" t="e">
        <f>IF($B$38="P",IF(#REF!&lt;&gt;"",#REF!,""),"")</f>
        <v>#REF!</v>
      </c>
      <c r="Y198">
        <v>21</v>
      </c>
      <c r="AB198">
        <f t="shared" si="3"/>
        <v>1</v>
      </c>
      <c r="AC198" s="321" t="e">
        <f t="shared" si="6"/>
        <v>#REF!</v>
      </c>
      <c r="AD198" s="395" t="e">
        <f>IF($B$38="P",IF(#REF!&lt;&gt;"",#REF!,""),IF(#REF!&lt;&gt;"",#REF!,""))</f>
        <v>#REF!</v>
      </c>
      <c r="AE198" s="395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21" t="e">
        <f t="shared" si="5"/>
        <v>#REF!</v>
      </c>
      <c r="AS198" s="395" t="e">
        <f>IF($B$38="P",IF(#REF!&lt;&gt;"",#REF!,""),"")</f>
        <v>#REF!</v>
      </c>
      <c r="AT198" s="395" t="e">
        <f>IF($B$38="P",IF(#REF!&lt;&gt;"",#REF!,""),"")</f>
        <v>#REF!</v>
      </c>
      <c r="AV198">
        <v>21</v>
      </c>
      <c r="AW198" s="324"/>
    </row>
    <row r="199" spans="18:49" ht="14.25" hidden="1" customHeight="1">
      <c r="R199">
        <f t="shared" si="1"/>
        <v>1</v>
      </c>
      <c r="S199" s="321" t="e">
        <f t="shared" si="2"/>
        <v>#REF!</v>
      </c>
      <c r="T199" s="395" t="e">
        <f>IF($B$38="P",IF(#REF!&lt;&gt;"",#REF!,""),"")</f>
        <v>#REF!</v>
      </c>
      <c r="U199" s="395" t="e">
        <f>IF($B$38="P",IF(#REF!&lt;&gt;"",ABS(#REF!),""),"")</f>
        <v>#REF!</v>
      </c>
      <c r="V199" s="395" t="e">
        <f>IF($B$38="P",IF(#REF!&lt;&gt;"",#REF!,""),"")</f>
        <v>#REF!</v>
      </c>
      <c r="W199" s="395" t="e">
        <f>IF($B$38="P",IF(#REF!&lt;&gt;"",#REF!,""),"")</f>
        <v>#REF!</v>
      </c>
      <c r="Y199">
        <v>22</v>
      </c>
      <c r="AB199">
        <f t="shared" si="3"/>
        <v>1</v>
      </c>
      <c r="AC199" s="321" t="e">
        <f t="shared" si="6"/>
        <v>#REF!</v>
      </c>
      <c r="AD199" s="395" t="e">
        <f>IF($B$38="P",IF(#REF!&lt;&gt;"",#REF!,""),IF(#REF!&lt;&gt;"",#REF!,""))</f>
        <v>#REF!</v>
      </c>
      <c r="AE199" s="395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21" t="e">
        <f t="shared" si="5"/>
        <v>#REF!</v>
      </c>
      <c r="AS199" s="395" t="e">
        <f>IF($B$38="P",IF(#REF!&lt;&gt;"",#REF!,""),"")</f>
        <v>#REF!</v>
      </c>
      <c r="AT199" s="395" t="e">
        <f>IF($B$38="P",IF(#REF!&lt;&gt;"",#REF!,""),"")</f>
        <v>#REF!</v>
      </c>
      <c r="AV199">
        <v>22</v>
      </c>
      <c r="AW199" s="324"/>
    </row>
    <row r="200" spans="18:49" ht="14.25" hidden="1" customHeight="1">
      <c r="R200">
        <f t="shared" si="1"/>
        <v>1</v>
      </c>
      <c r="S200" s="321" t="e">
        <f t="shared" si="2"/>
        <v>#REF!</v>
      </c>
      <c r="T200" s="395" t="e">
        <f>IF($B$38="P",IF(#REF!&lt;&gt;"",#REF!,""),"")</f>
        <v>#REF!</v>
      </c>
      <c r="U200" s="395" t="e">
        <f>IF($B$38="P",IF(#REF!&lt;&gt;"",ABS(#REF!),""),"")</f>
        <v>#REF!</v>
      </c>
      <c r="V200" s="395" t="e">
        <f>IF($B$38="P",IF(#REF!&lt;&gt;"",#REF!,""),"")</f>
        <v>#REF!</v>
      </c>
      <c r="W200" s="395" t="e">
        <f>IF($B$38="P",IF(#REF!&lt;&gt;"",#REF!,""),"")</f>
        <v>#REF!</v>
      </c>
      <c r="Y200">
        <v>23</v>
      </c>
      <c r="AB200">
        <f t="shared" si="3"/>
        <v>1</v>
      </c>
      <c r="AC200" s="321" t="e">
        <f t="shared" si="6"/>
        <v>#REF!</v>
      </c>
      <c r="AD200" s="395" t="e">
        <f>IF($B$38="P",IF(#REF!&lt;&gt;"",#REF!,""),IF(#REF!&lt;&gt;"",#REF!,""))</f>
        <v>#REF!</v>
      </c>
      <c r="AE200" s="395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21" t="e">
        <f t="shared" si="5"/>
        <v>#REF!</v>
      </c>
      <c r="AS200" s="395" t="e">
        <f>IF($B$38="P",IF(#REF!&lt;&gt;"",#REF!,""),"")</f>
        <v>#REF!</v>
      </c>
      <c r="AT200" s="395" t="e">
        <f>IF($B$38="P",IF(#REF!&lt;&gt;"",#REF!,""),"")</f>
        <v>#REF!</v>
      </c>
      <c r="AV200">
        <v>23</v>
      </c>
      <c r="AW200" s="324"/>
    </row>
    <row r="201" spans="18:49" ht="14.25" hidden="1" customHeight="1">
      <c r="R201">
        <f t="shared" si="1"/>
        <v>1</v>
      </c>
      <c r="S201" s="321" t="e">
        <f t="shared" si="2"/>
        <v>#REF!</v>
      </c>
      <c r="T201" s="395" t="e">
        <f>IF($B$38="P",IF(#REF!&lt;&gt;"",#REF!,""),"")</f>
        <v>#REF!</v>
      </c>
      <c r="U201" s="395" t="e">
        <f>IF($B$38="P",IF(#REF!&lt;&gt;"",ABS(#REF!),""),"")</f>
        <v>#REF!</v>
      </c>
      <c r="V201" s="395" t="e">
        <f>IF($B$38="P",IF(#REF!&lt;&gt;"",#REF!,""),"")</f>
        <v>#REF!</v>
      </c>
      <c r="W201" s="395" t="e">
        <f>IF($B$38="P",IF(#REF!&lt;&gt;"",#REF!,""),"")</f>
        <v>#REF!</v>
      </c>
      <c r="Y201">
        <v>24</v>
      </c>
      <c r="AB201">
        <f t="shared" si="3"/>
        <v>1</v>
      </c>
      <c r="AC201" s="321" t="e">
        <f t="shared" si="6"/>
        <v>#REF!</v>
      </c>
      <c r="AD201" s="395" t="e">
        <f>IF($B$38="P",IF(#REF!&lt;&gt;"",#REF!,""),IF(#REF!&lt;&gt;"",#REF!,""))</f>
        <v>#REF!</v>
      </c>
      <c r="AE201" s="395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21" t="e">
        <f t="shared" si="5"/>
        <v>#REF!</v>
      </c>
      <c r="AS201" s="395" t="e">
        <f>IF($B$38="P",IF(#REF!&lt;&gt;"",#REF!,""),"")</f>
        <v>#REF!</v>
      </c>
      <c r="AT201" s="395" t="e">
        <f>IF($B$38="P",IF(#REF!&lt;&gt;"",#REF!,""),"")</f>
        <v>#REF!</v>
      </c>
      <c r="AV201">
        <v>24</v>
      </c>
      <c r="AW201" s="324"/>
    </row>
    <row r="202" spans="18:49" ht="14.25" hidden="1" customHeight="1">
      <c r="R202">
        <f t="shared" si="1"/>
        <v>1</v>
      </c>
      <c r="S202" s="321" t="e">
        <f t="shared" si="2"/>
        <v>#REF!</v>
      </c>
      <c r="T202" s="395" t="e">
        <f>IF($B$38="P",IF(#REF!&lt;&gt;"",#REF!,""),"")</f>
        <v>#REF!</v>
      </c>
      <c r="U202" s="395" t="e">
        <f>IF($B$38="P",IF(#REF!&lt;&gt;"",ABS(#REF!),""),"")</f>
        <v>#REF!</v>
      </c>
      <c r="V202" s="395" t="e">
        <f>IF($B$38="P",IF(#REF!&lt;&gt;"",#REF!,""),"")</f>
        <v>#REF!</v>
      </c>
      <c r="W202" s="395" t="e">
        <f>IF($B$38="P",IF(#REF!&lt;&gt;"",#REF!,""),"")</f>
        <v>#REF!</v>
      </c>
      <c r="Y202">
        <v>25</v>
      </c>
      <c r="AB202">
        <f t="shared" si="3"/>
        <v>1</v>
      </c>
      <c r="AC202" s="321" t="e">
        <f t="shared" si="6"/>
        <v>#REF!</v>
      </c>
      <c r="AD202" s="395" t="e">
        <f>IF($B$38="P",IF(#REF!&lt;&gt;"",#REF!,""),IF(#REF!&lt;&gt;"",#REF!,""))</f>
        <v>#REF!</v>
      </c>
      <c r="AE202" s="395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21" t="e">
        <f t="shared" si="5"/>
        <v>#REF!</v>
      </c>
      <c r="AS202" s="395" t="e">
        <f>IF($B$38="P",IF(#REF!&lt;&gt;"",#REF!,""),"")</f>
        <v>#REF!</v>
      </c>
      <c r="AT202" s="395" t="e">
        <f>IF($B$38="P",IF(#REF!&lt;&gt;"",#REF!,""),"")</f>
        <v>#REF!</v>
      </c>
      <c r="AV202">
        <v>25</v>
      </c>
      <c r="AW202" s="324"/>
    </row>
    <row r="203" spans="18:49" ht="14.25" hidden="1" customHeight="1">
      <c r="R203">
        <f t="shared" si="1"/>
        <v>1</v>
      </c>
      <c r="S203" s="321" t="e">
        <f t="shared" si="2"/>
        <v>#REF!</v>
      </c>
      <c r="T203" s="395" t="e">
        <f>IF($B$38="P",IF(#REF!&lt;&gt;"",#REF!,""),"")</f>
        <v>#REF!</v>
      </c>
      <c r="U203" s="395" t="e">
        <f>IF($B$38="P",IF(#REF!&lt;&gt;"",ABS(#REF!),""),"")</f>
        <v>#REF!</v>
      </c>
      <c r="V203" s="395" t="e">
        <f>IF($B$38="P",IF(#REF!&lt;&gt;"",#REF!,""),"")</f>
        <v>#REF!</v>
      </c>
      <c r="W203" s="395" t="e">
        <f>IF($B$38="P",IF(#REF!&lt;&gt;"",#REF!,""),"")</f>
        <v>#REF!</v>
      </c>
      <c r="Y203">
        <v>26</v>
      </c>
      <c r="AB203">
        <f t="shared" si="3"/>
        <v>1</v>
      </c>
      <c r="AC203" s="321" t="e">
        <f t="shared" si="6"/>
        <v>#REF!</v>
      </c>
      <c r="AD203" s="395" t="e">
        <f>IF($B$38="P",IF(#REF!&lt;&gt;"",#REF!,""),IF(#REF!&lt;&gt;"",#REF!,""))</f>
        <v>#REF!</v>
      </c>
      <c r="AE203" s="395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21" t="e">
        <f t="shared" si="5"/>
        <v>#REF!</v>
      </c>
      <c r="AS203" s="395" t="e">
        <f>IF($B$38="P",IF(#REF!&lt;&gt;"",#REF!,""),"")</f>
        <v>#REF!</v>
      </c>
      <c r="AT203" s="395" t="e">
        <f>IF($B$38="P",IF(#REF!&lt;&gt;"",#REF!,""),"")</f>
        <v>#REF!</v>
      </c>
      <c r="AV203">
        <v>26</v>
      </c>
      <c r="AW203" s="324"/>
    </row>
    <row r="204" spans="18:49" ht="14.25" hidden="1" customHeight="1">
      <c r="R204">
        <f t="shared" si="1"/>
        <v>1</v>
      </c>
      <c r="S204" s="321" t="e">
        <f t="shared" si="2"/>
        <v>#REF!</v>
      </c>
      <c r="T204" s="395" t="e">
        <f>IF($B$38="P",IF(#REF!&lt;&gt;"",#REF!,""),"")</f>
        <v>#REF!</v>
      </c>
      <c r="U204" s="395" t="e">
        <f>IF($B$38="P",IF(#REF!&lt;&gt;"",ABS(#REF!),""),"")</f>
        <v>#REF!</v>
      </c>
      <c r="V204" s="395" t="e">
        <f>IF($B$38="P",IF(#REF!&lt;&gt;"",#REF!,""),"")</f>
        <v>#REF!</v>
      </c>
      <c r="W204" s="395" t="e">
        <f>IF($B$38="P",IF(#REF!&lt;&gt;"",#REF!,""),"")</f>
        <v>#REF!</v>
      </c>
      <c r="Y204">
        <v>27</v>
      </c>
      <c r="AB204">
        <f t="shared" si="3"/>
        <v>1</v>
      </c>
      <c r="AC204" s="321" t="e">
        <f t="shared" si="6"/>
        <v>#REF!</v>
      </c>
      <c r="AD204" s="395" t="e">
        <f>IF($B$38="P",IF(#REF!&lt;&gt;"",#REF!,""),"")</f>
        <v>#REF!</v>
      </c>
      <c r="AE204" s="395" t="e">
        <f>IF($B$38="P",IF(#REF!&lt;&gt;"",#REF!,""),"")</f>
        <v>#REF!</v>
      </c>
      <c r="AG204">
        <v>27</v>
      </c>
      <c r="AQ204">
        <f t="shared" si="4"/>
        <v>1</v>
      </c>
      <c r="AR204" s="321" t="e">
        <f t="shared" si="5"/>
        <v>#REF!</v>
      </c>
      <c r="AS204" s="395" t="e">
        <f>IF($B$38="P",IF(#REF!&lt;&gt;"",#REF!,""),"")</f>
        <v>#REF!</v>
      </c>
      <c r="AT204" s="395" t="e">
        <f>IF($B$38="P",IF(#REF!&lt;&gt;"",#REF!,""),"")</f>
        <v>#REF!</v>
      </c>
      <c r="AV204">
        <v>27</v>
      </c>
      <c r="AW204" s="324"/>
    </row>
    <row r="205" spans="18:49" ht="14.25" hidden="1" customHeight="1">
      <c r="R205">
        <f t="shared" si="1"/>
        <v>1</v>
      </c>
      <c r="S205" s="321" t="e">
        <f t="shared" si="2"/>
        <v>#REF!</v>
      </c>
      <c r="T205" s="395" t="e">
        <f>IF($B$38="P",IF(#REF!&lt;&gt;"",#REF!,""),"")</f>
        <v>#REF!</v>
      </c>
      <c r="U205" s="395" t="e">
        <f>IF($B$38="P",IF(#REF!&lt;&gt;"",ABS(#REF!),""),"")</f>
        <v>#REF!</v>
      </c>
      <c r="V205" s="395" t="e">
        <f>IF($B$38="P",IF(#REF!&lt;&gt;"",#REF!,""),"")</f>
        <v>#REF!</v>
      </c>
      <c r="W205" s="395" t="e">
        <f>IF($B$38="P",IF(#REF!&lt;&gt;"",#REF!,""),"")</f>
        <v>#REF!</v>
      </c>
      <c r="Y205">
        <v>28</v>
      </c>
      <c r="AB205">
        <f t="shared" si="3"/>
        <v>1</v>
      </c>
      <c r="AC205" s="321" t="e">
        <f t="shared" si="6"/>
        <v>#REF!</v>
      </c>
      <c r="AD205" s="395" t="e">
        <f>IF($B$38="P",IF(#REF!&lt;&gt;"",#REF!,""),"")</f>
        <v>#REF!</v>
      </c>
      <c r="AE205" s="395" t="e">
        <f>IF($B$38="P",IF(#REF!&lt;&gt;"",#REF!,""),"")</f>
        <v>#REF!</v>
      </c>
      <c r="AG205">
        <v>28</v>
      </c>
      <c r="AQ205">
        <f t="shared" si="4"/>
        <v>1</v>
      </c>
      <c r="AR205" s="321" t="e">
        <f t="shared" si="5"/>
        <v>#REF!</v>
      </c>
      <c r="AS205" s="395" t="e">
        <f>IF($B$38="P",IF(#REF!&lt;&gt;"",#REF!,""),"")</f>
        <v>#REF!</v>
      </c>
      <c r="AT205" s="395" t="e">
        <f>IF($B$38="P",IF(#REF!&lt;&gt;"",#REF!,""),"")</f>
        <v>#REF!</v>
      </c>
      <c r="AV205">
        <v>28</v>
      </c>
      <c r="AW205" s="324"/>
    </row>
    <row r="206" spans="18:49" ht="14.25" hidden="1" customHeight="1">
      <c r="R206">
        <f t="shared" si="1"/>
        <v>1</v>
      </c>
      <c r="S206" s="321" t="e">
        <f t="shared" si="2"/>
        <v>#REF!</v>
      </c>
      <c r="T206" s="395" t="e">
        <f>IF($B$38="P",IF(#REF!&lt;&gt;"",#REF!,""),"")</f>
        <v>#REF!</v>
      </c>
      <c r="U206" s="395" t="e">
        <f>IF($B$38="P",IF(#REF!&lt;&gt;"",ABS(#REF!),""),"")</f>
        <v>#REF!</v>
      </c>
      <c r="V206" s="395" t="e">
        <f>IF($B$38="P",IF(#REF!&lt;&gt;"",#REF!,""),"")</f>
        <v>#REF!</v>
      </c>
      <c r="W206" s="395" t="e">
        <f>IF($B$38="P",IF(#REF!&lt;&gt;"",#REF!,""),"")</f>
        <v>#REF!</v>
      </c>
      <c r="Y206">
        <v>29</v>
      </c>
      <c r="AB206">
        <f t="shared" si="3"/>
        <v>1</v>
      </c>
      <c r="AC206" s="321" t="e">
        <f t="shared" si="6"/>
        <v>#REF!</v>
      </c>
      <c r="AD206" s="395" t="e">
        <f>IF($B$38="P",IF(#REF!&lt;&gt;"",#REF!,""),"")</f>
        <v>#REF!</v>
      </c>
      <c r="AE206" s="395" t="e">
        <f>IF($B$38="P",IF(#REF!&lt;&gt;"",#REF!,""),"")</f>
        <v>#REF!</v>
      </c>
      <c r="AG206">
        <v>29</v>
      </c>
      <c r="AQ206">
        <f t="shared" si="4"/>
        <v>1</v>
      </c>
      <c r="AR206" s="321" t="e">
        <f t="shared" si="5"/>
        <v>#REF!</v>
      </c>
      <c r="AS206" s="395" t="e">
        <f>IF($B$38="P",IF(#REF!&lt;&gt;"",#REF!,""),"")</f>
        <v>#REF!</v>
      </c>
      <c r="AT206" s="395" t="e">
        <f>IF($B$38="P",IF(#REF!&lt;&gt;"",#REF!,""),"")</f>
        <v>#REF!</v>
      </c>
      <c r="AV206">
        <v>29</v>
      </c>
      <c r="AW206" s="324"/>
    </row>
    <row r="207" spans="18:49" ht="14.25" hidden="1" customHeight="1">
      <c r="R207">
        <f t="shared" si="1"/>
        <v>1</v>
      </c>
      <c r="S207" s="321" t="e">
        <f t="shared" si="2"/>
        <v>#REF!</v>
      </c>
      <c r="T207" s="395" t="e">
        <f>IF($B$38="P",IF(#REF!&lt;&gt;"",#REF!,""),"")</f>
        <v>#REF!</v>
      </c>
      <c r="U207" s="395" t="e">
        <f>IF($B$38="P",IF(#REF!&lt;&gt;"",ABS(#REF!),""),"")</f>
        <v>#REF!</v>
      </c>
      <c r="V207" s="395" t="e">
        <f>IF($B$38="P",IF(#REF!&lt;&gt;"",#REF!,""),"")</f>
        <v>#REF!</v>
      </c>
      <c r="W207" s="395" t="e">
        <f>IF($B$38="P",IF(#REF!&lt;&gt;"",#REF!,""),"")</f>
        <v>#REF!</v>
      </c>
      <c r="Y207">
        <v>30</v>
      </c>
      <c r="AB207">
        <f t="shared" si="3"/>
        <v>1</v>
      </c>
      <c r="AC207" s="321" t="e">
        <f t="shared" si="6"/>
        <v>#REF!</v>
      </c>
      <c r="AD207" s="395" t="e">
        <f>IF($B$38="P",IF(#REF!&lt;&gt;"",#REF!,""),"")</f>
        <v>#REF!</v>
      </c>
      <c r="AE207" s="395" t="e">
        <f>IF($B$38="P",IF(#REF!&lt;&gt;"",#REF!,""),"")</f>
        <v>#REF!</v>
      </c>
      <c r="AG207">
        <v>30</v>
      </c>
      <c r="AQ207">
        <f t="shared" si="4"/>
        <v>1</v>
      </c>
      <c r="AR207" s="321" t="e">
        <f t="shared" si="5"/>
        <v>#REF!</v>
      </c>
      <c r="AS207" s="395" t="e">
        <f>IF($B$38="P",IF(#REF!&lt;&gt;"",#REF!,""),"")</f>
        <v>#REF!</v>
      </c>
      <c r="AT207" s="395" t="e">
        <f>IF($B$38="P",IF(#REF!&lt;&gt;"",#REF!,""),"")</f>
        <v>#REF!</v>
      </c>
      <c r="AV207">
        <v>30</v>
      </c>
      <c r="AW207" s="324"/>
    </row>
    <row r="208" spans="18:49" ht="14.25" hidden="1" customHeight="1">
      <c r="R208">
        <f t="shared" si="1"/>
        <v>1</v>
      </c>
      <c r="S208" s="321" t="e">
        <f t="shared" si="2"/>
        <v>#REF!</v>
      </c>
      <c r="T208" s="395" t="e">
        <f>IF($B$38="P",IF(#REF!&lt;&gt;"",#REF!,""),"")</f>
        <v>#REF!</v>
      </c>
      <c r="U208" s="395" t="e">
        <f>IF($B$38="P",IF(#REF!&lt;&gt;"",ABS(#REF!),""),"")</f>
        <v>#REF!</v>
      </c>
      <c r="V208" s="395" t="e">
        <f>IF($B$38="P",IF(#REF!&lt;&gt;"",#REF!,""),"")</f>
        <v>#REF!</v>
      </c>
      <c r="W208" s="395" t="e">
        <f>IF($B$38="P",IF(#REF!&lt;&gt;"",#REF!,""),"")</f>
        <v>#REF!</v>
      </c>
      <c r="Y208">
        <v>31</v>
      </c>
      <c r="AB208">
        <f t="shared" si="3"/>
        <v>1</v>
      </c>
      <c r="AC208" s="321" t="e">
        <f t="shared" si="6"/>
        <v>#REF!</v>
      </c>
      <c r="AD208" s="395" t="e">
        <f>IF($B$38="P",IF(#REF!&lt;&gt;"",#REF!,""),"")</f>
        <v>#REF!</v>
      </c>
      <c r="AE208" s="395" t="e">
        <f>IF($B$38="P",IF(#REF!&lt;&gt;"",#REF!,""),"")</f>
        <v>#REF!</v>
      </c>
      <c r="AG208">
        <v>31</v>
      </c>
      <c r="AQ208">
        <f t="shared" si="4"/>
        <v>1</v>
      </c>
      <c r="AR208" s="321" t="e">
        <f t="shared" si="5"/>
        <v>#REF!</v>
      </c>
      <c r="AS208" s="395" t="e">
        <f>IF($B$38="P",IF(#REF!&lt;&gt;"",#REF!,""),"")</f>
        <v>#REF!</v>
      </c>
      <c r="AT208" s="395" t="e">
        <f>IF($B$38="P",IF(#REF!&lt;&gt;"",#REF!,""),"")</f>
        <v>#REF!</v>
      </c>
      <c r="AV208">
        <v>31</v>
      </c>
      <c r="AW208" s="324"/>
    </row>
    <row r="209" spans="18:49" ht="14.25" hidden="1" customHeight="1">
      <c r="R209">
        <f t="shared" si="1"/>
        <v>1</v>
      </c>
      <c r="S209" s="321" t="e">
        <f t="shared" si="2"/>
        <v>#REF!</v>
      </c>
      <c r="T209" s="395" t="e">
        <f>IF($B$38="P",IF(#REF!&lt;&gt;"",#REF!,""),"")</f>
        <v>#REF!</v>
      </c>
      <c r="U209" s="395" t="e">
        <f>IF($B$38="P",IF(#REF!&lt;&gt;"",ABS(#REF!),""),"")</f>
        <v>#REF!</v>
      </c>
      <c r="V209" s="395" t="e">
        <f>IF($B$38="P",IF(#REF!&lt;&gt;"",#REF!,""),"")</f>
        <v>#REF!</v>
      </c>
      <c r="W209" s="395" t="e">
        <f>IF($B$38="P",IF(#REF!&lt;&gt;"",#REF!,""),"")</f>
        <v>#REF!</v>
      </c>
      <c r="Y209">
        <v>32</v>
      </c>
      <c r="AB209">
        <f t="shared" si="3"/>
        <v>1</v>
      </c>
      <c r="AC209" s="321" t="e">
        <f t="shared" si="6"/>
        <v>#REF!</v>
      </c>
      <c r="AD209" s="395" t="e">
        <f>IF($B$38="P",IF(#REF!&lt;&gt;"",#REF!,""),"")</f>
        <v>#REF!</v>
      </c>
      <c r="AE209" s="395" t="e">
        <f>IF($B$38="P",IF(#REF!&lt;&gt;"",#REF!,""),"")</f>
        <v>#REF!</v>
      </c>
      <c r="AG209">
        <v>32</v>
      </c>
      <c r="AQ209">
        <f t="shared" si="4"/>
        <v>1</v>
      </c>
      <c r="AR209" s="321" t="e">
        <f t="shared" si="5"/>
        <v>#REF!</v>
      </c>
      <c r="AS209" s="395" t="e">
        <f>IF($B$38="P",IF(#REF!&lt;&gt;"",#REF!,""),"")</f>
        <v>#REF!</v>
      </c>
      <c r="AT209" s="395" t="e">
        <f>IF($B$38="P",IF(#REF!&lt;&gt;"",#REF!,""),"")</f>
        <v>#REF!</v>
      </c>
      <c r="AV209">
        <v>32</v>
      </c>
      <c r="AW209" s="324"/>
    </row>
    <row r="210" spans="18:49" ht="14.25" hidden="1" customHeight="1">
      <c r="R210">
        <f t="shared" ref="R210:R243" si="7">$Q$178</f>
        <v>1</v>
      </c>
      <c r="S210" s="321" t="e">
        <f t="shared" si="2"/>
        <v>#REF!</v>
      </c>
      <c r="T210" s="395" t="e">
        <f>IF($B$38="P",IF(#REF!&lt;&gt;"",#REF!,""),"")</f>
        <v>#REF!</v>
      </c>
      <c r="U210" s="395" t="e">
        <f>IF($B$38="P",IF(#REF!&lt;&gt;"",ABS(#REF!),""),"")</f>
        <v>#REF!</v>
      </c>
      <c r="V210" s="395" t="e">
        <f>IF($B$38="P",IF(#REF!&lt;&gt;"",#REF!,""),"")</f>
        <v>#REF!</v>
      </c>
      <c r="W210" s="395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21" t="e">
        <f t="shared" si="6"/>
        <v>#REF!</v>
      </c>
      <c r="AD210" s="395" t="e">
        <f>IF($B$38="P",IF(#REF!&lt;&gt;"",#REF!,""),"")</f>
        <v>#REF!</v>
      </c>
      <c r="AE210" s="395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21" t="e">
        <f t="shared" si="5"/>
        <v>#REF!</v>
      </c>
      <c r="AS210" s="395" t="e">
        <f>IF($B$38="P",IF(#REF!&lt;&gt;"",#REF!,""),"")</f>
        <v>#REF!</v>
      </c>
      <c r="AT210" s="395" t="e">
        <f>IF($B$38="P",IF(#REF!&lt;&gt;"",#REF!,""),"")</f>
        <v>#REF!</v>
      </c>
      <c r="AV210">
        <v>33</v>
      </c>
      <c r="AW210" s="324"/>
    </row>
    <row r="211" spans="18:49" ht="14.25" hidden="1" customHeight="1">
      <c r="R211">
        <f t="shared" si="7"/>
        <v>1</v>
      </c>
      <c r="S211" s="321" t="e">
        <f t="shared" si="2"/>
        <v>#REF!</v>
      </c>
      <c r="T211" s="395" t="e">
        <f>IF($B$38="P",IF(#REF!&lt;&gt;"",#REF!,""),"")</f>
        <v>#REF!</v>
      </c>
      <c r="U211" s="395" t="e">
        <f>IF($B$38="P",IF(#REF!&lt;&gt;"",ABS(#REF!),""),"")</f>
        <v>#REF!</v>
      </c>
      <c r="V211" s="395" t="e">
        <f>IF($B$38="P",IF(#REF!&lt;&gt;"",#REF!,""),"")</f>
        <v>#REF!</v>
      </c>
      <c r="W211" s="395" t="e">
        <f>IF($B$38="P",IF(#REF!&lt;&gt;"",#REF!,""),"")</f>
        <v>#REF!</v>
      </c>
      <c r="Y211">
        <v>34</v>
      </c>
      <c r="AB211">
        <f t="shared" si="8"/>
        <v>1</v>
      </c>
      <c r="AC211" s="321" t="e">
        <f t="shared" si="6"/>
        <v>#REF!</v>
      </c>
      <c r="AD211" s="395" t="e">
        <f>IF($B$38="P",IF(#REF!&lt;&gt;"",#REF!,""),"")</f>
        <v>#REF!</v>
      </c>
      <c r="AE211" s="395" t="e">
        <f>IF($B$38="P",IF(#REF!&lt;&gt;"",#REF!,""),"")</f>
        <v>#REF!</v>
      </c>
      <c r="AG211">
        <v>34</v>
      </c>
      <c r="AQ211">
        <f t="shared" si="9"/>
        <v>1</v>
      </c>
      <c r="AR211" s="321" t="e">
        <f t="shared" si="5"/>
        <v>#REF!</v>
      </c>
      <c r="AS211" s="395" t="e">
        <f>IF($B$38="P",IF(#REF!&lt;&gt;"",#REF!,""),"")</f>
        <v>#REF!</v>
      </c>
      <c r="AT211" s="395" t="e">
        <f>IF($B$38="P",IF(#REF!&lt;&gt;"",#REF!,""),"")</f>
        <v>#REF!</v>
      </c>
      <c r="AV211">
        <v>34</v>
      </c>
      <c r="AW211" s="324"/>
    </row>
    <row r="212" spans="18:49" ht="14.25" hidden="1" customHeight="1">
      <c r="R212">
        <f t="shared" si="7"/>
        <v>1</v>
      </c>
      <c r="S212" s="321" t="e">
        <f t="shared" si="2"/>
        <v>#REF!</v>
      </c>
      <c r="T212" s="395" t="e">
        <f>IF($B$38="P",IF(#REF!&lt;&gt;"",#REF!,""),"")</f>
        <v>#REF!</v>
      </c>
      <c r="U212" s="395" t="e">
        <f>IF($B$38="P",IF(#REF!&lt;&gt;"",ABS(#REF!),""),"")</f>
        <v>#REF!</v>
      </c>
      <c r="V212" s="395" t="e">
        <f>IF($B$38="P",IF(#REF!&lt;&gt;"",#REF!,""),"")</f>
        <v>#REF!</v>
      </c>
      <c r="W212" s="395" t="e">
        <f>IF($B$38="P",IF(#REF!&lt;&gt;"",#REF!,""),"")</f>
        <v>#REF!</v>
      </c>
      <c r="Y212">
        <v>35</v>
      </c>
      <c r="AB212">
        <f t="shared" si="8"/>
        <v>1</v>
      </c>
      <c r="AC212" s="321" t="e">
        <f t="shared" si="6"/>
        <v>#REF!</v>
      </c>
      <c r="AD212" s="395" t="e">
        <f>IF($B$38="P",IF(#REF!&lt;&gt;"",#REF!,""),"")</f>
        <v>#REF!</v>
      </c>
      <c r="AE212" s="395" t="e">
        <f>IF($B$38="P",IF(#REF!&lt;&gt;"",#REF!,""),"")</f>
        <v>#REF!</v>
      </c>
      <c r="AG212">
        <v>35</v>
      </c>
      <c r="AQ212">
        <f t="shared" si="9"/>
        <v>1</v>
      </c>
      <c r="AR212" s="321" t="e">
        <f t="shared" si="5"/>
        <v>#REF!</v>
      </c>
      <c r="AS212" s="395" t="e">
        <f>IF($B$38="P",IF(#REF!&lt;&gt;"",#REF!,""),"")</f>
        <v>#REF!</v>
      </c>
      <c r="AT212" s="395" t="e">
        <f>IF($B$38="P",IF(#REF!&lt;&gt;"",#REF!,""),"")</f>
        <v>#REF!</v>
      </c>
      <c r="AV212">
        <v>35</v>
      </c>
      <c r="AW212" s="324"/>
    </row>
    <row r="213" spans="18:49" ht="14.25" hidden="1" customHeight="1">
      <c r="R213">
        <f t="shared" si="7"/>
        <v>1</v>
      </c>
      <c r="S213" s="321" t="e">
        <f t="shared" si="2"/>
        <v>#REF!</v>
      </c>
      <c r="T213" s="395" t="e">
        <f>IF($B$38="P",IF(#REF!&lt;&gt;"",#REF!,""),"")</f>
        <v>#REF!</v>
      </c>
      <c r="U213" s="395" t="e">
        <f>IF($B$38="P",IF(#REF!&lt;&gt;"",ABS(#REF!),""),"")</f>
        <v>#REF!</v>
      </c>
      <c r="V213" s="395" t="e">
        <f>IF($B$38="P",IF(#REF!&lt;&gt;"",#REF!,""),"")</f>
        <v>#REF!</v>
      </c>
      <c r="W213" s="395" t="e">
        <f>IF($B$38="P",IF(#REF!&lt;&gt;"",#REF!,""),"")</f>
        <v>#REF!</v>
      </c>
      <c r="Y213">
        <v>36</v>
      </c>
      <c r="AB213">
        <f t="shared" si="8"/>
        <v>1</v>
      </c>
      <c r="AC213" s="321" t="e">
        <f t="shared" si="6"/>
        <v>#REF!</v>
      </c>
      <c r="AD213" s="395" t="e">
        <f>IF($B$38="P",IF(#REF!&lt;&gt;"",#REF!,""),"")</f>
        <v>#REF!</v>
      </c>
      <c r="AE213" s="395" t="e">
        <f>IF($B$38="P",IF(#REF!&lt;&gt;"",#REF!,""),"")</f>
        <v>#REF!</v>
      </c>
      <c r="AG213">
        <v>36</v>
      </c>
      <c r="AQ213">
        <f t="shared" si="9"/>
        <v>1</v>
      </c>
      <c r="AR213" s="321" t="e">
        <f t="shared" si="5"/>
        <v>#REF!</v>
      </c>
      <c r="AS213" s="395" t="e">
        <f>IF($B$38="P",IF(#REF!&lt;&gt;"",#REF!,""),"")</f>
        <v>#REF!</v>
      </c>
      <c r="AT213" s="395" t="e">
        <f>IF($B$38="P",IF(#REF!&lt;&gt;"",#REF!,""),"")</f>
        <v>#REF!</v>
      </c>
      <c r="AV213">
        <v>36</v>
      </c>
      <c r="AW213" s="324"/>
    </row>
    <row r="214" spans="18:49" ht="14.25" hidden="1" customHeight="1">
      <c r="R214">
        <f t="shared" si="7"/>
        <v>1</v>
      </c>
      <c r="S214" s="321" t="e">
        <f t="shared" si="2"/>
        <v>#REF!</v>
      </c>
      <c r="T214" s="395" t="e">
        <f>IF($B$38="P",IF(#REF!&lt;&gt;"",#REF!,""),"")</f>
        <v>#REF!</v>
      </c>
      <c r="U214" s="395" t="e">
        <f>IF($B$38="P",IF(#REF!&lt;&gt;"",ABS(#REF!),""),"")</f>
        <v>#REF!</v>
      </c>
      <c r="V214" s="395" t="e">
        <f>IF($B$38="P",IF(#REF!&lt;&gt;"",#REF!,""),"")</f>
        <v>#REF!</v>
      </c>
      <c r="W214" s="395" t="e">
        <f>IF($B$38="P",IF(#REF!&lt;&gt;"",#REF!,""),"")</f>
        <v>#REF!</v>
      </c>
      <c r="Y214">
        <v>37</v>
      </c>
      <c r="AB214">
        <f t="shared" si="8"/>
        <v>1</v>
      </c>
      <c r="AC214" s="321" t="e">
        <f t="shared" si="6"/>
        <v>#REF!</v>
      </c>
      <c r="AD214" s="395" t="e">
        <f>IF($B$38="P",IF(#REF!&lt;&gt;"",#REF!,""),"")</f>
        <v>#REF!</v>
      </c>
      <c r="AE214" s="395" t="e">
        <f>IF($B$38="P",IF(#REF!&lt;&gt;"",#REF!,""),"")</f>
        <v>#REF!</v>
      </c>
      <c r="AG214">
        <v>37</v>
      </c>
      <c r="AQ214">
        <f t="shared" si="9"/>
        <v>1</v>
      </c>
      <c r="AR214" s="321" t="e">
        <f t="shared" si="5"/>
        <v>#REF!</v>
      </c>
      <c r="AS214" s="395" t="e">
        <f>IF($B$38="P",IF(#REF!&lt;&gt;"",#REF!,""),"")</f>
        <v>#REF!</v>
      </c>
      <c r="AT214" s="395" t="e">
        <f>IF($B$38="P",IF(#REF!&lt;&gt;"",#REF!,""),"")</f>
        <v>#REF!</v>
      </c>
      <c r="AV214">
        <v>37</v>
      </c>
      <c r="AW214" s="324"/>
    </row>
    <row r="215" spans="18:49" ht="14.25" hidden="1" customHeight="1">
      <c r="R215">
        <f t="shared" si="7"/>
        <v>1</v>
      </c>
      <c r="S215" s="321" t="e">
        <f t="shared" si="2"/>
        <v>#REF!</v>
      </c>
      <c r="T215" s="395" t="e">
        <f>IF($B$38="P",IF(#REF!&lt;&gt;"",#REF!,""),"")</f>
        <v>#REF!</v>
      </c>
      <c r="U215" s="395" t="e">
        <f>IF($B$38="P",IF(#REF!&lt;&gt;"",ABS(#REF!),""),"")</f>
        <v>#REF!</v>
      </c>
      <c r="V215" s="395" t="e">
        <f>IF($B$38="P",IF(#REF!&lt;&gt;"",#REF!,""),"")</f>
        <v>#REF!</v>
      </c>
      <c r="W215" s="395" t="e">
        <f>IF($B$38="P",IF(#REF!&lt;&gt;"",#REF!,""),"")</f>
        <v>#REF!</v>
      </c>
      <c r="Y215">
        <v>38</v>
      </c>
      <c r="AB215">
        <f t="shared" si="8"/>
        <v>1</v>
      </c>
      <c r="AC215" s="321" t="e">
        <f t="shared" si="6"/>
        <v>#REF!</v>
      </c>
      <c r="AD215" s="395" t="e">
        <f>IF($B$38="P",IF(#REF!&lt;&gt;"",#REF!,""),"")</f>
        <v>#REF!</v>
      </c>
      <c r="AE215" s="395" t="e">
        <f>IF($B$38="P",IF(#REF!&lt;&gt;"",#REF!,""),"")</f>
        <v>#REF!</v>
      </c>
      <c r="AG215">
        <v>38</v>
      </c>
      <c r="AQ215">
        <f t="shared" si="9"/>
        <v>1</v>
      </c>
      <c r="AR215" s="321" t="e">
        <f t="shared" si="5"/>
        <v>#REF!</v>
      </c>
      <c r="AS215" s="395" t="e">
        <f>IF($B$38="P",IF(#REF!&lt;&gt;"",#REF!,""),"")</f>
        <v>#REF!</v>
      </c>
      <c r="AT215" s="395" t="e">
        <f>IF($B$38="P",IF(#REF!&lt;&gt;"",#REF!,""),"")</f>
        <v>#REF!</v>
      </c>
      <c r="AV215">
        <v>38</v>
      </c>
      <c r="AW215" s="324"/>
    </row>
    <row r="216" spans="18:49" ht="14.25" hidden="1" customHeight="1">
      <c r="R216">
        <f t="shared" si="7"/>
        <v>1</v>
      </c>
      <c r="S216" s="321" t="e">
        <f t="shared" si="2"/>
        <v>#REF!</v>
      </c>
      <c r="T216" s="395" t="e">
        <f>IF($B$38="P",IF(#REF!&lt;&gt;"",#REF!,""),"")</f>
        <v>#REF!</v>
      </c>
      <c r="U216" s="395" t="e">
        <f>IF($B$38="P",IF(#REF!&lt;&gt;"",ABS(#REF!),""),"")</f>
        <v>#REF!</v>
      </c>
      <c r="V216" s="395" t="e">
        <f>IF($B$38="P",IF(#REF!&lt;&gt;"",#REF!,""),"")</f>
        <v>#REF!</v>
      </c>
      <c r="W216" s="395" t="e">
        <f>IF($B$38="P",IF(#REF!&lt;&gt;"",#REF!,""),"")</f>
        <v>#REF!</v>
      </c>
      <c r="Y216">
        <v>39</v>
      </c>
      <c r="AB216">
        <f t="shared" si="8"/>
        <v>1</v>
      </c>
      <c r="AC216" s="321" t="e">
        <f t="shared" si="6"/>
        <v>#REF!</v>
      </c>
      <c r="AD216" s="395" t="e">
        <f>IF($B$38="P",IF(#REF!&lt;&gt;"",#REF!,""),"")</f>
        <v>#REF!</v>
      </c>
      <c r="AE216" s="395" t="e">
        <f>IF($B$38="P",IF(#REF!&lt;&gt;"",#REF!,""),"")</f>
        <v>#REF!</v>
      </c>
      <c r="AG216">
        <v>39</v>
      </c>
      <c r="AQ216">
        <f t="shared" si="9"/>
        <v>1</v>
      </c>
      <c r="AR216" s="321" t="e">
        <f t="shared" si="5"/>
        <v>#REF!</v>
      </c>
      <c r="AS216" s="395" t="e">
        <f>IF($B$38="P",IF(#REF!&lt;&gt;"",#REF!,""),"")</f>
        <v>#REF!</v>
      </c>
      <c r="AT216" s="395" t="e">
        <f>IF($B$38="P",IF(#REF!&lt;&gt;"",#REF!,""),"")</f>
        <v>#REF!</v>
      </c>
      <c r="AV216">
        <v>39</v>
      </c>
      <c r="AW216" s="324"/>
    </row>
    <row r="217" spans="18:49" ht="14.25" hidden="1" customHeight="1">
      <c r="R217">
        <f t="shared" si="7"/>
        <v>1</v>
      </c>
      <c r="S217" s="321" t="e">
        <f t="shared" si="2"/>
        <v>#REF!</v>
      </c>
      <c r="T217" s="395" t="e">
        <f>IF($B$38="P",IF(#REF!&lt;&gt;"",#REF!,""),"")</f>
        <v>#REF!</v>
      </c>
      <c r="U217" s="395" t="e">
        <f>IF($B$38="P",IF(#REF!&lt;&gt;"",ABS(#REF!),""),"")</f>
        <v>#REF!</v>
      </c>
      <c r="V217" s="395" t="e">
        <f>IF($B$38="P",IF(#REF!&lt;&gt;"",#REF!,""),"")</f>
        <v>#REF!</v>
      </c>
      <c r="W217" s="395" t="e">
        <f>IF($B$38="P",IF(#REF!&lt;&gt;"",#REF!,""),"")</f>
        <v>#REF!</v>
      </c>
      <c r="Y217">
        <v>40</v>
      </c>
      <c r="AB217">
        <f t="shared" si="8"/>
        <v>1</v>
      </c>
      <c r="AC217" s="321" t="e">
        <f t="shared" si="6"/>
        <v>#REF!</v>
      </c>
      <c r="AD217" s="395" t="e">
        <f>IF($B$38="P",IF(#REF!&lt;&gt;"",#REF!,""),"")</f>
        <v>#REF!</v>
      </c>
      <c r="AE217" s="395" t="e">
        <f>IF($B$38="P",IF(#REF!&lt;&gt;"",#REF!,""),"")</f>
        <v>#REF!</v>
      </c>
      <c r="AG217">
        <v>40</v>
      </c>
      <c r="AQ217">
        <f t="shared" si="9"/>
        <v>1</v>
      </c>
      <c r="AR217" s="321" t="e">
        <f t="shared" si="5"/>
        <v>#REF!</v>
      </c>
      <c r="AS217" s="395" t="e">
        <f>IF($B$38="P",IF(#REF!&lt;&gt;"",#REF!,""),"")</f>
        <v>#REF!</v>
      </c>
      <c r="AT217" s="395" t="e">
        <f>IF($B$38="P",IF(#REF!&lt;&gt;"",#REF!,""),"")</f>
        <v>#REF!</v>
      </c>
      <c r="AV217">
        <v>40</v>
      </c>
      <c r="AW217" s="324"/>
    </row>
    <row r="218" spans="18:49" ht="14.25" hidden="1" customHeight="1">
      <c r="R218">
        <f t="shared" si="7"/>
        <v>1</v>
      </c>
      <c r="S218" s="321" t="e">
        <f t="shared" si="2"/>
        <v>#REF!</v>
      </c>
      <c r="T218" s="395" t="e">
        <f>IF($B$38="P",IF(#REF!&lt;&gt;"",#REF!,""),"")</f>
        <v>#REF!</v>
      </c>
      <c r="U218" s="395" t="e">
        <f>IF($B$38="P",IF(#REF!&lt;&gt;"",ABS(#REF!),""),"")</f>
        <v>#REF!</v>
      </c>
      <c r="V218" s="395" t="e">
        <f>IF($B$38="P",IF(#REF!&lt;&gt;"",#REF!,""),"")</f>
        <v>#REF!</v>
      </c>
      <c r="W218" s="395" t="e">
        <f>IF($B$38="P",IF(#REF!&lt;&gt;"",#REF!,""),"")</f>
        <v>#REF!</v>
      </c>
      <c r="Y218">
        <v>41</v>
      </c>
      <c r="AB218">
        <f t="shared" si="8"/>
        <v>1</v>
      </c>
      <c r="AC218" s="321" t="e">
        <f t="shared" si="6"/>
        <v>#REF!</v>
      </c>
      <c r="AD218" s="395" t="e">
        <f>IF($B$38="P",IF(#REF!&lt;&gt;"",#REF!,""),"")</f>
        <v>#REF!</v>
      </c>
      <c r="AE218" s="395" t="e">
        <f>IF($B$38="P",IF(#REF!&lt;&gt;"",#REF!,""),"")</f>
        <v>#REF!</v>
      </c>
      <c r="AF218" s="268"/>
      <c r="AG218">
        <v>41</v>
      </c>
      <c r="AQ218">
        <f t="shared" si="9"/>
        <v>1</v>
      </c>
      <c r="AR218" s="321" t="e">
        <f t="shared" si="5"/>
        <v>#REF!</v>
      </c>
      <c r="AS218" s="395" t="e">
        <f>IF($B$38="P",IF(#REF!&lt;&gt;"",#REF!,""),"")</f>
        <v>#REF!</v>
      </c>
      <c r="AT218" s="395" t="e">
        <f>IF($B$38="P",IF(#REF!&lt;&gt;"",#REF!,""),"")</f>
        <v>#REF!</v>
      </c>
      <c r="AV218">
        <v>41</v>
      </c>
      <c r="AW218" s="324"/>
    </row>
    <row r="219" spans="18:49" ht="14.25" hidden="1" customHeight="1">
      <c r="R219">
        <f t="shared" si="7"/>
        <v>1</v>
      </c>
      <c r="S219" s="321" t="e">
        <f t="shared" si="2"/>
        <v>#REF!</v>
      </c>
      <c r="T219" s="395" t="e">
        <f>IF($B$38="P",IF(#REF!&lt;&gt;"",#REF!,""),"")</f>
        <v>#REF!</v>
      </c>
      <c r="U219" s="395" t="e">
        <f>IF($B$38="P",IF(#REF!&lt;&gt;"",ABS(#REF!),""),"")</f>
        <v>#REF!</v>
      </c>
      <c r="V219" s="395" t="e">
        <f>IF($B$38="P",IF(#REF!&lt;&gt;"",#REF!,""),"")</f>
        <v>#REF!</v>
      </c>
      <c r="W219" s="395" t="e">
        <f>IF($B$38="P",IF(#REF!&lt;&gt;"",#REF!,""),"")</f>
        <v>#REF!</v>
      </c>
      <c r="Y219">
        <v>42</v>
      </c>
      <c r="AB219">
        <f t="shared" si="8"/>
        <v>1</v>
      </c>
      <c r="AC219" s="321" t="e">
        <f t="shared" si="6"/>
        <v>#REF!</v>
      </c>
      <c r="AD219" s="395" t="e">
        <f>IF($B$38="P",IF(#REF!&lt;&gt;"",#REF!,""),"")</f>
        <v>#REF!</v>
      </c>
      <c r="AE219" s="395" t="e">
        <f>IF($B$38="P",IF(#REF!&lt;&gt;"",#REF!,""),"")</f>
        <v>#REF!</v>
      </c>
      <c r="AF219" s="324"/>
      <c r="AG219">
        <v>42</v>
      </c>
      <c r="AQ219">
        <f t="shared" si="9"/>
        <v>1</v>
      </c>
      <c r="AR219" s="321" t="e">
        <f t="shared" si="5"/>
        <v>#REF!</v>
      </c>
      <c r="AS219" s="395" t="e">
        <f>IF($B$38="P",IF(#REF!&lt;&gt;"",#REF!,""),"")</f>
        <v>#REF!</v>
      </c>
      <c r="AT219" s="395" t="e">
        <f>IF($B$38="P",IF(#REF!&lt;&gt;"",#REF!,""),"")</f>
        <v>#REF!</v>
      </c>
      <c r="AV219">
        <v>42</v>
      </c>
      <c r="AW219" s="324"/>
    </row>
    <row r="220" spans="18:49" ht="14.25" hidden="1" customHeight="1">
      <c r="R220">
        <f t="shared" si="7"/>
        <v>1</v>
      </c>
      <c r="S220" s="321" t="e">
        <f t="shared" si="2"/>
        <v>#REF!</v>
      </c>
      <c r="T220" s="395" t="e">
        <f>IF($B$38="P",IF(#REF!&lt;&gt;"",#REF!,""),"")</f>
        <v>#REF!</v>
      </c>
      <c r="U220" s="395" t="e">
        <f>IF($B$38="P",IF(#REF!&lt;&gt;"",ABS(#REF!),""),"")</f>
        <v>#REF!</v>
      </c>
      <c r="V220" s="395" t="e">
        <f>IF($B$38="P",IF(#REF!&lt;&gt;"",#REF!,""),"")</f>
        <v>#REF!</v>
      </c>
      <c r="W220" s="395" t="e">
        <f>IF($B$38="P",IF(#REF!&lt;&gt;"",#REF!,""),"")</f>
        <v>#REF!</v>
      </c>
      <c r="Y220">
        <v>43</v>
      </c>
      <c r="AB220">
        <f t="shared" si="8"/>
        <v>1</v>
      </c>
      <c r="AC220" s="321" t="e">
        <f t="shared" si="6"/>
        <v>#REF!</v>
      </c>
      <c r="AD220" s="395" t="e">
        <f>IF($B$38="P",IF(#REF!&lt;&gt;"",#REF!,""),"")</f>
        <v>#REF!</v>
      </c>
      <c r="AE220" s="395" t="e">
        <f>IF($B$38="P",IF(#REF!&lt;&gt;"",#REF!,""),"")</f>
        <v>#REF!</v>
      </c>
      <c r="AF220" s="324"/>
      <c r="AG220">
        <v>43</v>
      </c>
      <c r="AQ220">
        <f t="shared" si="9"/>
        <v>1</v>
      </c>
      <c r="AR220" s="321" t="e">
        <f t="shared" si="5"/>
        <v>#REF!</v>
      </c>
      <c r="AS220" s="395" t="e">
        <f>IF($B$38="P",IF(#REF!&lt;&gt;"",#REF!,""),"")</f>
        <v>#REF!</v>
      </c>
      <c r="AT220" s="395" t="e">
        <f>IF($B$38="P",IF(#REF!&lt;&gt;"",#REF!,""),"")</f>
        <v>#REF!</v>
      </c>
      <c r="AV220">
        <v>43</v>
      </c>
      <c r="AW220" s="324"/>
    </row>
    <row r="221" spans="18:49" ht="14.25" hidden="1" customHeight="1">
      <c r="R221">
        <f t="shared" si="7"/>
        <v>1</v>
      </c>
      <c r="S221" s="321" t="e">
        <f t="shared" si="2"/>
        <v>#REF!</v>
      </c>
      <c r="T221" s="395" t="e">
        <f>IF($B$38="P",IF(#REF!&lt;&gt;"",#REF!,""),"")</f>
        <v>#REF!</v>
      </c>
      <c r="U221" s="395" t="e">
        <f>IF($B$38="P",IF(#REF!&lt;&gt;"",ABS(#REF!),""),"")</f>
        <v>#REF!</v>
      </c>
      <c r="V221" s="395" t="e">
        <f>IF($B$38="P",IF(#REF!&lt;&gt;"",#REF!,""),"")</f>
        <v>#REF!</v>
      </c>
      <c r="W221" s="395" t="e">
        <f>IF($B$38="P",IF(#REF!&lt;&gt;"",#REF!,""),"")</f>
        <v>#REF!</v>
      </c>
      <c r="Y221">
        <v>44</v>
      </c>
      <c r="AB221">
        <f t="shared" si="8"/>
        <v>1</v>
      </c>
      <c r="AC221" s="321" t="e">
        <f t="shared" si="6"/>
        <v>#REF!</v>
      </c>
      <c r="AD221" s="395" t="e">
        <f>IF($B$38="P",IF(#REF!&lt;&gt;"",#REF!,""),"")</f>
        <v>#REF!</v>
      </c>
      <c r="AE221" s="395" t="e">
        <f>IF($B$38="P",IF(#REF!&lt;&gt;"",#REF!,""),"")</f>
        <v>#REF!</v>
      </c>
      <c r="AF221" s="324"/>
      <c r="AG221">
        <v>44</v>
      </c>
      <c r="AQ221">
        <f t="shared" si="9"/>
        <v>1</v>
      </c>
      <c r="AR221" s="321" t="e">
        <f t="shared" si="5"/>
        <v>#REF!</v>
      </c>
      <c r="AS221" s="395" t="e">
        <f>IF($B$38="P",IF(#REF!&lt;&gt;"",#REF!,""),"")</f>
        <v>#REF!</v>
      </c>
      <c r="AT221" s="395" t="e">
        <f>IF($B$38="P",IF(#REF!&lt;&gt;"",#REF!,""),"")</f>
        <v>#REF!</v>
      </c>
      <c r="AV221">
        <v>44</v>
      </c>
      <c r="AW221" s="324"/>
    </row>
    <row r="222" spans="18:49" ht="14.25" hidden="1" customHeight="1">
      <c r="R222">
        <f t="shared" si="7"/>
        <v>1</v>
      </c>
      <c r="S222" s="321" t="e">
        <f t="shared" si="2"/>
        <v>#REF!</v>
      </c>
      <c r="T222" s="395" t="e">
        <f>IF($B$38="P",IF(#REF!&lt;&gt;"",#REF!,""),"")</f>
        <v>#REF!</v>
      </c>
      <c r="U222" s="395" t="e">
        <f>IF($B$38="P",IF(#REF!&lt;&gt;"",ABS(#REF!),""),"")</f>
        <v>#REF!</v>
      </c>
      <c r="V222" s="395" t="e">
        <f>IF($B$38="P",IF(#REF!&lt;&gt;"",#REF!,""),"")</f>
        <v>#REF!</v>
      </c>
      <c r="W222" s="395" t="e">
        <f>IF($B$38="P",IF(#REF!&lt;&gt;"",#REF!,""),"")</f>
        <v>#REF!</v>
      </c>
      <c r="Y222">
        <v>45</v>
      </c>
      <c r="AB222">
        <f t="shared" si="8"/>
        <v>1</v>
      </c>
      <c r="AC222" s="321" t="e">
        <f t="shared" si="6"/>
        <v>#REF!</v>
      </c>
      <c r="AD222" s="395" t="e">
        <f>IF($B$38="P",IF(#REF!&lt;&gt;"",#REF!,""),"")</f>
        <v>#REF!</v>
      </c>
      <c r="AE222" s="395" t="e">
        <f>IF($B$38="P",IF(#REF!&lt;&gt;"",#REF!,""),"")</f>
        <v>#REF!</v>
      </c>
      <c r="AF222" s="324"/>
      <c r="AG222">
        <v>45</v>
      </c>
      <c r="AQ222">
        <f t="shared" si="9"/>
        <v>1</v>
      </c>
      <c r="AR222" s="321" t="e">
        <f t="shared" si="5"/>
        <v>#REF!</v>
      </c>
      <c r="AS222" s="395" t="e">
        <f>IF($B$38="P",IF(#REF!&lt;&gt;"",#REF!,""),"")</f>
        <v>#REF!</v>
      </c>
      <c r="AT222" s="395" t="e">
        <f>IF($B$38="P",IF(#REF!&lt;&gt;"",#REF!,""),"")</f>
        <v>#REF!</v>
      </c>
      <c r="AV222">
        <v>45</v>
      </c>
      <c r="AW222" s="324"/>
    </row>
    <row r="223" spans="18:49" ht="14.25" hidden="1" customHeight="1">
      <c r="R223">
        <f t="shared" si="7"/>
        <v>1</v>
      </c>
      <c r="S223" s="321" t="e">
        <f t="shared" si="2"/>
        <v>#REF!</v>
      </c>
      <c r="T223" s="395" t="e">
        <f>IF($B$38="P",IF(#REF!&lt;&gt;"",#REF!,""),"")</f>
        <v>#REF!</v>
      </c>
      <c r="U223" s="395" t="e">
        <f>IF($B$38="P",IF(#REF!&lt;&gt;"",ABS(#REF!),""),"")</f>
        <v>#REF!</v>
      </c>
      <c r="V223" s="395" t="e">
        <f>IF($B$38="P",IF(#REF!&lt;&gt;"",#REF!,""),"")</f>
        <v>#REF!</v>
      </c>
      <c r="W223" s="395" t="e">
        <f>IF($B$38="P",IF(#REF!&lt;&gt;"",#REF!,""),"")</f>
        <v>#REF!</v>
      </c>
      <c r="Y223">
        <v>46</v>
      </c>
      <c r="AB223">
        <f t="shared" si="8"/>
        <v>1</v>
      </c>
      <c r="AC223" s="321" t="e">
        <f t="shared" si="6"/>
        <v>#REF!</v>
      </c>
      <c r="AD223" s="395" t="e">
        <f>IF($B$38="P",IF(#REF!&lt;&gt;"",#REF!,""),"")</f>
        <v>#REF!</v>
      </c>
      <c r="AE223" s="395" t="e">
        <f>IF($B$38="P",IF(#REF!&lt;&gt;"",#REF!,""),"")</f>
        <v>#REF!</v>
      </c>
      <c r="AF223" s="324"/>
      <c r="AG223">
        <v>46</v>
      </c>
      <c r="AQ223">
        <f t="shared" si="9"/>
        <v>1</v>
      </c>
      <c r="AR223" s="321" t="e">
        <f t="shared" si="5"/>
        <v>#REF!</v>
      </c>
      <c r="AS223" s="395" t="e">
        <f>IF($B$38="P",IF(#REF!&lt;&gt;"",#REF!,""),"")</f>
        <v>#REF!</v>
      </c>
      <c r="AT223" s="395" t="e">
        <f>IF($B$38="P",IF(#REF!&lt;&gt;"",#REF!,""),"")</f>
        <v>#REF!</v>
      </c>
      <c r="AV223">
        <v>46</v>
      </c>
      <c r="AW223" s="324"/>
    </row>
    <row r="224" spans="18:49" ht="14.25" hidden="1" customHeight="1">
      <c r="R224">
        <f t="shared" si="7"/>
        <v>1</v>
      </c>
      <c r="S224" s="321" t="e">
        <f t="shared" si="2"/>
        <v>#REF!</v>
      </c>
      <c r="T224" s="395" t="e">
        <f>IF($B$38="P",IF(#REF!&lt;&gt;"",#REF!,""),"")</f>
        <v>#REF!</v>
      </c>
      <c r="U224" s="395" t="e">
        <f>IF($B$38="P",IF(#REF!&lt;&gt;"",ABS(#REF!),""),"")</f>
        <v>#REF!</v>
      </c>
      <c r="V224" s="395" t="e">
        <f>IF($B$38="P",IF(#REF!&lt;&gt;"",#REF!,""),"")</f>
        <v>#REF!</v>
      </c>
      <c r="W224" s="395" t="e">
        <f>IF($B$38="P",IF(#REF!&lt;&gt;"",#REF!,""),"")</f>
        <v>#REF!</v>
      </c>
      <c r="Y224">
        <v>47</v>
      </c>
      <c r="AB224">
        <f t="shared" si="8"/>
        <v>1</v>
      </c>
      <c r="AC224" s="321" t="e">
        <f t="shared" si="6"/>
        <v>#REF!</v>
      </c>
      <c r="AD224" s="395" t="e">
        <f>IF($B$38="P",IF(#REF!&lt;&gt;"",#REF!,""),"")</f>
        <v>#REF!</v>
      </c>
      <c r="AE224" s="395" t="e">
        <f>IF($B$38="P",IF(#REF!&lt;&gt;"",#REF!,""),"")</f>
        <v>#REF!</v>
      </c>
      <c r="AF224" s="324"/>
      <c r="AG224">
        <v>47</v>
      </c>
      <c r="AQ224">
        <f t="shared" si="9"/>
        <v>1</v>
      </c>
      <c r="AR224" s="321" t="e">
        <f t="shared" si="5"/>
        <v>#REF!</v>
      </c>
      <c r="AS224" s="395" t="e">
        <f>IF($B$38="P",IF(#REF!&lt;&gt;"",#REF!,""),"")</f>
        <v>#REF!</v>
      </c>
      <c r="AT224" s="395" t="e">
        <f>IF($B$38="P",IF(#REF!&lt;&gt;"",#REF!,""),"")</f>
        <v>#REF!</v>
      </c>
      <c r="AV224">
        <v>47</v>
      </c>
      <c r="AW224" s="324"/>
    </row>
    <row r="225" spans="18:49" ht="14.25" hidden="1" customHeight="1">
      <c r="R225">
        <f t="shared" si="7"/>
        <v>1</v>
      </c>
      <c r="S225" s="321" t="e">
        <f t="shared" si="2"/>
        <v>#REF!</v>
      </c>
      <c r="T225" s="395" t="e">
        <f>IF($B$38="P",IF(#REF!&lt;&gt;"",#REF!,""),"")</f>
        <v>#REF!</v>
      </c>
      <c r="U225" s="395" t="e">
        <f>IF($B$38="P",IF(#REF!&lt;&gt;"",ABS(#REF!),""),"")</f>
        <v>#REF!</v>
      </c>
      <c r="V225" s="395" t="e">
        <f>IF($B$38="P",IF(#REF!&lt;&gt;"",#REF!,""),"")</f>
        <v>#REF!</v>
      </c>
      <c r="W225" s="395" t="e">
        <f>IF($B$38="P",IF(#REF!&lt;&gt;"",#REF!,""),"")</f>
        <v>#REF!</v>
      </c>
      <c r="Y225">
        <v>48</v>
      </c>
      <c r="AB225">
        <f t="shared" si="8"/>
        <v>1</v>
      </c>
      <c r="AC225" s="321" t="e">
        <f t="shared" si="6"/>
        <v>#REF!</v>
      </c>
      <c r="AD225" s="395" t="e">
        <f>IF($B$38="P",IF(#REF!&lt;&gt;"",#REF!,""),"")</f>
        <v>#REF!</v>
      </c>
      <c r="AE225" s="395" t="e">
        <f>IF($B$38="P",IF(#REF!&lt;&gt;"",#REF!,""),"")</f>
        <v>#REF!</v>
      </c>
      <c r="AF225" s="324"/>
      <c r="AG225">
        <v>48</v>
      </c>
      <c r="AQ225">
        <f t="shared" si="9"/>
        <v>1</v>
      </c>
      <c r="AR225" s="321" t="e">
        <f t="shared" si="5"/>
        <v>#REF!</v>
      </c>
      <c r="AS225" s="395" t="e">
        <f>IF($B$38="P",IF(#REF!&lt;&gt;"",#REF!,""),"")</f>
        <v>#REF!</v>
      </c>
      <c r="AT225" s="395" t="e">
        <f>IF($B$38="P",IF(#REF!&lt;&gt;"",#REF!,""),"")</f>
        <v>#REF!</v>
      </c>
      <c r="AV225">
        <v>48</v>
      </c>
      <c r="AW225" s="324"/>
    </row>
    <row r="226" spans="18:49" ht="14.25" hidden="1" customHeight="1">
      <c r="R226">
        <f t="shared" si="7"/>
        <v>1</v>
      </c>
      <c r="S226" s="321" t="e">
        <f t="shared" si="2"/>
        <v>#REF!</v>
      </c>
      <c r="T226" s="395" t="e">
        <f>IF($B$38="P",IF(#REF!&lt;&gt;"",#REF!,""),"")</f>
        <v>#REF!</v>
      </c>
      <c r="U226" s="395" t="e">
        <f>IF($B$38="P",IF(#REF!&lt;&gt;"",ABS(#REF!),""),"")</f>
        <v>#REF!</v>
      </c>
      <c r="V226" s="395" t="e">
        <f>IF($B$38="P",IF(#REF!&lt;&gt;"",#REF!,""),"")</f>
        <v>#REF!</v>
      </c>
      <c r="W226" s="395" t="e">
        <f>IF($B$38="P",IF(#REF!&lt;&gt;"",#REF!,""),"")</f>
        <v>#REF!</v>
      </c>
      <c r="Y226">
        <v>49</v>
      </c>
      <c r="AB226">
        <f t="shared" si="8"/>
        <v>1</v>
      </c>
      <c r="AC226" s="321" t="e">
        <f t="shared" si="6"/>
        <v>#REF!</v>
      </c>
      <c r="AD226" s="395" t="e">
        <f>IF($B$38="P",IF(#REF!&lt;&gt;"",#REF!,""),"")</f>
        <v>#REF!</v>
      </c>
      <c r="AE226" s="395" t="e">
        <f>IF($B$38="P",IF(#REF!&lt;&gt;"",#REF!,""),"")</f>
        <v>#REF!</v>
      </c>
      <c r="AF226" s="324"/>
      <c r="AG226">
        <v>49</v>
      </c>
      <c r="AQ226">
        <f t="shared" si="9"/>
        <v>1</v>
      </c>
      <c r="AR226" s="321" t="e">
        <f t="shared" si="5"/>
        <v>#REF!</v>
      </c>
      <c r="AS226" s="395" t="e">
        <f>IF($B$38="P",IF(#REF!&lt;&gt;"",#REF!,""),"")</f>
        <v>#REF!</v>
      </c>
      <c r="AT226" s="395" t="e">
        <f>IF($B$38="P",IF(#REF!&lt;&gt;"",#REF!,""),"")</f>
        <v>#REF!</v>
      </c>
      <c r="AV226">
        <v>49</v>
      </c>
      <c r="AW226" s="324"/>
    </row>
    <row r="227" spans="18:49" ht="14.25" hidden="1" customHeight="1">
      <c r="R227">
        <f t="shared" si="7"/>
        <v>1</v>
      </c>
      <c r="S227" s="321" t="e">
        <f t="shared" si="2"/>
        <v>#REF!</v>
      </c>
      <c r="T227" s="395" t="e">
        <f>IF($B$38="P",IF(#REF!&lt;&gt;"",#REF!,""),"")</f>
        <v>#REF!</v>
      </c>
      <c r="U227" s="395" t="e">
        <f>IF($B$38="P",IF(#REF!&lt;&gt;"",ABS(#REF!),""),"")</f>
        <v>#REF!</v>
      </c>
      <c r="V227" s="395" t="e">
        <f>IF($B$38="P",IF(#REF!&lt;&gt;"",#REF!,""),"")</f>
        <v>#REF!</v>
      </c>
      <c r="W227" s="395" t="e">
        <f>IF($B$38="P",IF(#REF!&lt;&gt;"",#REF!,""),"")</f>
        <v>#REF!</v>
      </c>
      <c r="Y227">
        <v>50</v>
      </c>
      <c r="AB227">
        <f t="shared" si="8"/>
        <v>1</v>
      </c>
      <c r="AC227" s="321" t="e">
        <f t="shared" si="6"/>
        <v>#REF!</v>
      </c>
      <c r="AD227" s="395" t="e">
        <f>IF($B$38="P",IF(#REF!&lt;&gt;"",#REF!,""),"")</f>
        <v>#REF!</v>
      </c>
      <c r="AE227" s="395" t="e">
        <f>IF($B$38="P",IF(#REF!&lt;&gt;"",#REF!,""),"")</f>
        <v>#REF!</v>
      </c>
      <c r="AF227" s="324"/>
      <c r="AG227">
        <v>50</v>
      </c>
      <c r="AQ227">
        <f t="shared" si="9"/>
        <v>1</v>
      </c>
      <c r="AR227" s="321" t="e">
        <f t="shared" si="5"/>
        <v>#REF!</v>
      </c>
      <c r="AS227" s="395" t="e">
        <f>IF($B$38="P",IF(#REF!&lt;&gt;"",#REF!,""),"")</f>
        <v>#REF!</v>
      </c>
      <c r="AT227" s="395" t="e">
        <f>IF($B$38="P",IF(#REF!&lt;&gt;"",#REF!,""),"")</f>
        <v>#REF!</v>
      </c>
      <c r="AV227">
        <v>50</v>
      </c>
      <c r="AW227" s="324"/>
    </row>
    <row r="228" spans="18:49" ht="14.25" hidden="1" customHeight="1">
      <c r="R228">
        <f t="shared" si="7"/>
        <v>1</v>
      </c>
      <c r="S228" s="321" t="e">
        <f t="shared" si="2"/>
        <v>#REF!</v>
      </c>
      <c r="T228" s="395" t="e">
        <f>IF($B$38="P",IF(#REF!&lt;&gt;"",#REF!,""),"")</f>
        <v>#REF!</v>
      </c>
      <c r="U228" s="395" t="e">
        <f>IF($B$38="P",IF(#REF!&lt;&gt;"",ABS(#REF!),""),"")</f>
        <v>#REF!</v>
      </c>
      <c r="V228" s="395" t="e">
        <f>IF($B$38="P",IF(#REF!&lt;&gt;"",#REF!,""),"")</f>
        <v>#REF!</v>
      </c>
      <c r="W228" s="395" t="e">
        <f>IF($B$38="P",IF(#REF!&lt;&gt;"",#REF!,""),"")</f>
        <v>#REF!</v>
      </c>
      <c r="Y228">
        <v>51</v>
      </c>
      <c r="AB228">
        <f t="shared" si="8"/>
        <v>1</v>
      </c>
      <c r="AC228" s="321" t="e">
        <f t="shared" si="6"/>
        <v>#REF!</v>
      </c>
      <c r="AD228" s="395" t="e">
        <f>IF($B$38="P",IF(#REF!&lt;&gt;"",#REF!,""),"")</f>
        <v>#REF!</v>
      </c>
      <c r="AE228" s="395" t="e">
        <f>IF($B$38="P",IF(#REF!&lt;&gt;"",#REF!,""),"")</f>
        <v>#REF!</v>
      </c>
      <c r="AF228" s="324"/>
      <c r="AG228">
        <v>51</v>
      </c>
      <c r="AQ228">
        <f t="shared" si="9"/>
        <v>1</v>
      </c>
      <c r="AR228" s="321" t="e">
        <f t="shared" si="5"/>
        <v>#REF!</v>
      </c>
      <c r="AS228" s="395" t="e">
        <f>IF($B$38="P",IF(#REF!&lt;&gt;"",#REF!,""),"")</f>
        <v>#REF!</v>
      </c>
      <c r="AT228" s="395" t="e">
        <f>IF($B$38="P",IF(#REF!&lt;&gt;"",#REF!,""),"")</f>
        <v>#REF!</v>
      </c>
      <c r="AV228">
        <v>51</v>
      </c>
      <c r="AW228" s="324"/>
    </row>
    <row r="229" spans="18:49" ht="14.25" hidden="1" customHeight="1">
      <c r="R229">
        <f t="shared" si="7"/>
        <v>1</v>
      </c>
      <c r="S229" s="321" t="e">
        <f t="shared" si="2"/>
        <v>#REF!</v>
      </c>
      <c r="T229" s="395" t="e">
        <f>IF($B$38="P",IF(#REF!&lt;&gt;"",#REF!,""),"")</f>
        <v>#REF!</v>
      </c>
      <c r="U229" s="395" t="e">
        <f>IF($B$38="P",IF(#REF!&lt;&gt;"",ABS(#REF!),""),"")</f>
        <v>#REF!</v>
      </c>
      <c r="V229" s="395" t="e">
        <f>IF($B$38="P",IF(#REF!&lt;&gt;"",#REF!,""),"")</f>
        <v>#REF!</v>
      </c>
      <c r="W229" s="395" t="e">
        <f>IF($B$38="P",IF(#REF!&lt;&gt;"",#REF!,""),"")</f>
        <v>#REF!</v>
      </c>
      <c r="Y229">
        <v>52</v>
      </c>
      <c r="AB229">
        <f t="shared" si="8"/>
        <v>1</v>
      </c>
      <c r="AC229" s="321" t="e">
        <f t="shared" si="6"/>
        <v>#REF!</v>
      </c>
      <c r="AD229" s="395" t="e">
        <f>IF($B$38="P",IF(#REF!&lt;&gt;"",#REF!,""),"")</f>
        <v>#REF!</v>
      </c>
      <c r="AE229" s="395" t="e">
        <f>IF($B$38="P",IF(#REF!&lt;&gt;"",#REF!,""),"")</f>
        <v>#REF!</v>
      </c>
      <c r="AF229" s="324"/>
      <c r="AG229">
        <v>52</v>
      </c>
      <c r="AQ229">
        <f t="shared" si="9"/>
        <v>1</v>
      </c>
      <c r="AR229" s="321" t="e">
        <f t="shared" si="5"/>
        <v>#REF!</v>
      </c>
      <c r="AS229" s="395" t="e">
        <f>IF($B$38="P",IF(#REF!&lt;&gt;"",#REF!,""),"")</f>
        <v>#REF!</v>
      </c>
      <c r="AT229" s="395" t="e">
        <f>IF($B$38="P",IF(#REF!&lt;&gt;"",#REF!,""),"")</f>
        <v>#REF!</v>
      </c>
      <c r="AV229">
        <v>52</v>
      </c>
      <c r="AW229" s="324"/>
    </row>
    <row r="230" spans="18:49" ht="14.25" hidden="1" customHeight="1">
      <c r="R230">
        <f t="shared" si="7"/>
        <v>1</v>
      </c>
      <c r="S230" s="321" t="e">
        <f t="shared" si="2"/>
        <v>#REF!</v>
      </c>
      <c r="T230" s="395" t="e">
        <f>IF($B$38="P",IF(#REF!&lt;&gt;"",#REF!,""),"")</f>
        <v>#REF!</v>
      </c>
      <c r="U230" s="395" t="e">
        <f>IF($B$38="P",IF(#REF!&lt;&gt;"",ABS(#REF!),""),"")</f>
        <v>#REF!</v>
      </c>
      <c r="V230" s="395" t="e">
        <f>IF($B$38="P",IF(#REF!&lt;&gt;"",#REF!,""),"")</f>
        <v>#REF!</v>
      </c>
      <c r="W230" s="395" t="e">
        <f>IF($B$38="P",IF(#REF!&lt;&gt;"",#REF!,""),"")</f>
        <v>#REF!</v>
      </c>
      <c r="Y230">
        <v>53</v>
      </c>
      <c r="AB230">
        <f t="shared" si="8"/>
        <v>1</v>
      </c>
      <c r="AC230" s="321" t="e">
        <f t="shared" si="6"/>
        <v>#REF!</v>
      </c>
      <c r="AD230" s="395" t="e">
        <f>IF($B$38="P",IF(#REF!&lt;&gt;"",#REF!,""),"")</f>
        <v>#REF!</v>
      </c>
      <c r="AE230" s="395" t="e">
        <f>IF($B$38="P",IF(#REF!&lt;&gt;"",#REF!,""),"")</f>
        <v>#REF!</v>
      </c>
      <c r="AF230" s="324"/>
      <c r="AG230">
        <v>53</v>
      </c>
      <c r="AQ230">
        <f t="shared" si="9"/>
        <v>1</v>
      </c>
      <c r="AR230" s="321" t="e">
        <f t="shared" si="5"/>
        <v>#REF!</v>
      </c>
      <c r="AS230" s="395" t="e">
        <f>IF($B$38="P",IF(#REF!&lt;&gt;"",#REF!,""),"")</f>
        <v>#REF!</v>
      </c>
      <c r="AT230" s="395" t="e">
        <f>IF($B$38="P",IF(#REF!&lt;&gt;"",#REF!,""),"")</f>
        <v>#REF!</v>
      </c>
      <c r="AV230">
        <v>53</v>
      </c>
      <c r="AW230" s="324"/>
    </row>
    <row r="231" spans="18:49" ht="14.25" hidden="1" customHeight="1">
      <c r="R231">
        <f t="shared" si="7"/>
        <v>1</v>
      </c>
      <c r="S231" s="321" t="e">
        <f t="shared" si="2"/>
        <v>#REF!</v>
      </c>
      <c r="T231" s="395" t="e">
        <f>IF($B$38="P",IF(#REF!&lt;&gt;"",#REF!,""),"")</f>
        <v>#REF!</v>
      </c>
      <c r="U231" s="395" t="e">
        <f>IF($B$38="P",IF(#REF!&lt;&gt;"",ABS(#REF!),""),"")</f>
        <v>#REF!</v>
      </c>
      <c r="V231" s="395" t="e">
        <f>IF($B$38="P",IF(#REF!&lt;&gt;"",#REF!,""),"")</f>
        <v>#REF!</v>
      </c>
      <c r="W231" s="395" t="e">
        <f>IF($B$38="P",IF(#REF!&lt;&gt;"",#REF!,""),"")</f>
        <v>#REF!</v>
      </c>
      <c r="Y231">
        <v>54</v>
      </c>
      <c r="AB231">
        <f t="shared" si="8"/>
        <v>1</v>
      </c>
      <c r="AC231" s="321" t="e">
        <f t="shared" si="6"/>
        <v>#REF!</v>
      </c>
      <c r="AD231" s="395" t="e">
        <f>IF($B$38="P",IF(#REF!&lt;&gt;"",#REF!,""),"")</f>
        <v>#REF!</v>
      </c>
      <c r="AE231" s="395" t="e">
        <f>IF($B$38="P",IF(#REF!&lt;&gt;"",#REF!,""),"")</f>
        <v>#REF!</v>
      </c>
      <c r="AF231" s="324"/>
      <c r="AG231">
        <v>54</v>
      </c>
      <c r="AQ231">
        <f t="shared" si="9"/>
        <v>1</v>
      </c>
      <c r="AR231" s="321" t="e">
        <f t="shared" si="5"/>
        <v>#REF!</v>
      </c>
      <c r="AS231" s="395" t="e">
        <f>IF($B$38="P",IF(#REF!&lt;&gt;"",#REF!,""),"")</f>
        <v>#REF!</v>
      </c>
      <c r="AT231" s="395" t="e">
        <f>IF($B$38="P",IF(#REF!&lt;&gt;"",#REF!,""),"")</f>
        <v>#REF!</v>
      </c>
      <c r="AV231">
        <v>54</v>
      </c>
      <c r="AW231" s="324"/>
    </row>
    <row r="232" spans="18:49" ht="14.25" hidden="1" customHeight="1">
      <c r="R232">
        <f t="shared" si="7"/>
        <v>1</v>
      </c>
      <c r="S232" s="321" t="e">
        <f t="shared" si="2"/>
        <v>#REF!</v>
      </c>
      <c r="T232" s="395" t="e">
        <f>IF($B$38="P",IF(#REF!&lt;&gt;"",#REF!,""),"")</f>
        <v>#REF!</v>
      </c>
      <c r="U232" s="395" t="e">
        <f>IF($B$38="P",IF(#REF!&lt;&gt;"",ABS(#REF!),""),"")</f>
        <v>#REF!</v>
      </c>
      <c r="V232" s="395" t="e">
        <f>IF($B$38="P",IF(#REF!&lt;&gt;"",#REF!,""),"")</f>
        <v>#REF!</v>
      </c>
      <c r="W232" s="395" t="e">
        <f>IF($B$38="P",IF(#REF!&lt;&gt;"",#REF!,""),"")</f>
        <v>#REF!</v>
      </c>
      <c r="Y232">
        <v>55</v>
      </c>
      <c r="AB232">
        <f t="shared" si="8"/>
        <v>1</v>
      </c>
      <c r="AC232" s="321" t="e">
        <f t="shared" si="6"/>
        <v>#REF!</v>
      </c>
      <c r="AD232" s="395" t="e">
        <f>IF($B$38="P",IF(#REF!&lt;&gt;"",#REF!,""),"")</f>
        <v>#REF!</v>
      </c>
      <c r="AE232" s="395" t="e">
        <f>IF($B$38="P",IF(#REF!&lt;&gt;"",#REF!,""),"")</f>
        <v>#REF!</v>
      </c>
      <c r="AF232" s="324"/>
      <c r="AG232">
        <v>55</v>
      </c>
      <c r="AQ232">
        <f t="shared" si="9"/>
        <v>1</v>
      </c>
      <c r="AR232" s="321" t="e">
        <f t="shared" si="5"/>
        <v>#REF!</v>
      </c>
      <c r="AS232" s="395" t="e">
        <f>IF($B$38="P",IF(#REF!&lt;&gt;"",#REF!,""),"")</f>
        <v>#REF!</v>
      </c>
      <c r="AT232" s="395" t="e">
        <f>IF($B$38="P",IF(#REF!&lt;&gt;"",#REF!,""),"")</f>
        <v>#REF!</v>
      </c>
      <c r="AV232">
        <v>55</v>
      </c>
      <c r="AW232" s="324"/>
    </row>
    <row r="233" spans="18:49" ht="14.25" hidden="1" customHeight="1">
      <c r="R233">
        <f t="shared" si="7"/>
        <v>1</v>
      </c>
      <c r="S233" s="321" t="e">
        <f t="shared" si="2"/>
        <v>#REF!</v>
      </c>
      <c r="T233" s="395" t="e">
        <f>IF($B$38="P",IF(#REF!&lt;&gt;"",#REF!,""),"")</f>
        <v>#REF!</v>
      </c>
      <c r="U233" s="395" t="e">
        <f>IF($B$38="P",IF(#REF!&lt;&gt;"",ABS(#REF!),""),"")</f>
        <v>#REF!</v>
      </c>
      <c r="V233" s="395" t="e">
        <f>IF($B$38="P",IF(#REF!&lt;&gt;"",#REF!,""),"")</f>
        <v>#REF!</v>
      </c>
      <c r="W233" s="395" t="e">
        <f>IF($B$38="P",IF(#REF!&lt;&gt;"",#REF!,""),"")</f>
        <v>#REF!</v>
      </c>
      <c r="Y233">
        <v>56</v>
      </c>
      <c r="AB233">
        <f t="shared" si="8"/>
        <v>1</v>
      </c>
      <c r="AC233" s="321" t="e">
        <f t="shared" si="6"/>
        <v>#REF!</v>
      </c>
      <c r="AD233" s="395" t="e">
        <f>IF($B$38="P",IF(#REF!&lt;&gt;"",#REF!,""),"")</f>
        <v>#REF!</v>
      </c>
      <c r="AE233" s="395" t="e">
        <f>IF($B$38="P",IF(#REF!&lt;&gt;"",#REF!,""),"")</f>
        <v>#REF!</v>
      </c>
      <c r="AF233" s="324"/>
      <c r="AG233">
        <v>56</v>
      </c>
      <c r="AQ233">
        <f t="shared" si="9"/>
        <v>1</v>
      </c>
      <c r="AR233" s="321" t="e">
        <f t="shared" si="5"/>
        <v>#REF!</v>
      </c>
      <c r="AS233" s="395" t="e">
        <f>IF($B$38="P",IF(#REF!&lt;&gt;"",#REF!,""),"")</f>
        <v>#REF!</v>
      </c>
      <c r="AT233" s="395" t="e">
        <f>IF($B$38="P",IF(#REF!&lt;&gt;"",#REF!,""),"")</f>
        <v>#REF!</v>
      </c>
      <c r="AV233">
        <v>56</v>
      </c>
      <c r="AW233" s="324"/>
    </row>
    <row r="234" spans="18:49" ht="14.25" hidden="1" customHeight="1">
      <c r="R234">
        <f t="shared" si="7"/>
        <v>1</v>
      </c>
      <c r="S234" s="321" t="e">
        <f t="shared" si="2"/>
        <v>#REF!</v>
      </c>
      <c r="T234" s="395" t="e">
        <f>IF($B$38="P",IF(#REF!&lt;&gt;"",#REF!,""),"")</f>
        <v>#REF!</v>
      </c>
      <c r="U234" s="395" t="e">
        <f>IF($B$38="P",IF(#REF!&lt;&gt;"",ABS(#REF!),""),"")</f>
        <v>#REF!</v>
      </c>
      <c r="V234" s="395" t="e">
        <f>IF($B$38="P",IF(#REF!&lt;&gt;"",#REF!,""),"")</f>
        <v>#REF!</v>
      </c>
      <c r="W234" s="395" t="e">
        <f>IF($B$38="P",IF(#REF!&lt;&gt;"",#REF!,""),"")</f>
        <v>#REF!</v>
      </c>
      <c r="Y234">
        <v>57</v>
      </c>
      <c r="AD234" s="319"/>
      <c r="AE234" s="319"/>
      <c r="AF234" s="324"/>
      <c r="AG234" s="324"/>
      <c r="AH234" s="324"/>
      <c r="AQ234">
        <f t="shared" si="9"/>
        <v>1</v>
      </c>
      <c r="AR234" s="321" t="e">
        <f t="shared" si="5"/>
        <v>#REF!</v>
      </c>
      <c r="AS234" s="395" t="e">
        <f>IF($B$38="P",IF(#REF!&lt;&gt;"",#REF!,""),"")</f>
        <v>#REF!</v>
      </c>
      <c r="AT234" s="395" t="e">
        <f>IF($B$38="P",IF(#REF!&lt;&gt;"",#REF!,""),"")</f>
        <v>#REF!</v>
      </c>
      <c r="AV234">
        <v>57</v>
      </c>
      <c r="AW234" s="324"/>
    </row>
    <row r="235" spans="18:49" ht="14.25" hidden="1" customHeight="1">
      <c r="R235">
        <f t="shared" si="7"/>
        <v>1</v>
      </c>
      <c r="S235" s="321" t="e">
        <f t="shared" si="2"/>
        <v>#REF!</v>
      </c>
      <c r="T235" s="395" t="e">
        <f>IF($B$38="P",IF(#REF!&lt;&gt;"",#REF!,""),"")</f>
        <v>#REF!</v>
      </c>
      <c r="U235" s="395" t="e">
        <f>IF($B$38="P",IF(#REF!&lt;&gt;"",ABS(#REF!),""),"")</f>
        <v>#REF!</v>
      </c>
      <c r="V235" s="395" t="e">
        <f>IF($B$38="P",IF(#REF!&lt;&gt;"",#REF!,""),"")</f>
        <v>#REF!</v>
      </c>
      <c r="W235" s="395" t="e">
        <f>IF($B$38="P",IF(#REF!&lt;&gt;"",#REF!,""),"")</f>
        <v>#REF!</v>
      </c>
      <c r="Y235">
        <v>58</v>
      </c>
      <c r="AD235" s="319"/>
      <c r="AE235" s="319"/>
      <c r="AF235" s="324"/>
      <c r="AG235" s="324"/>
      <c r="AH235" s="324"/>
      <c r="AQ235">
        <f t="shared" si="9"/>
        <v>1</v>
      </c>
      <c r="AR235" s="321" t="e">
        <f t="shared" si="5"/>
        <v>#REF!</v>
      </c>
      <c r="AS235" s="395" t="e">
        <f>IF($B$38="P",IF(#REF!&lt;&gt;"",#REF!,""),"")</f>
        <v>#REF!</v>
      </c>
      <c r="AT235" s="395" t="e">
        <f>IF($B$38="P",IF(#REF!&lt;&gt;"",#REF!,""),"")</f>
        <v>#REF!</v>
      </c>
      <c r="AV235">
        <v>58</v>
      </c>
      <c r="AW235" s="324"/>
    </row>
    <row r="236" spans="18:49" ht="14.25" hidden="1" customHeight="1">
      <c r="R236">
        <f t="shared" si="7"/>
        <v>1</v>
      </c>
      <c r="S236" s="321" t="e">
        <f t="shared" si="2"/>
        <v>#REF!</v>
      </c>
      <c r="T236" s="395" t="e">
        <f>IF($B$38="P",IF(#REF!&lt;&gt;"",#REF!,""),"")</f>
        <v>#REF!</v>
      </c>
      <c r="U236" s="395" t="e">
        <f>IF($B$38="P",IF(#REF!&lt;&gt;"",ABS(#REF!),""),"")</f>
        <v>#REF!</v>
      </c>
      <c r="V236" s="395" t="e">
        <f>IF($B$38="P",IF(#REF!&lt;&gt;"",#REF!,""),"")</f>
        <v>#REF!</v>
      </c>
      <c r="W236" s="395" t="e">
        <f>IF($B$38="P",IF(#REF!&lt;&gt;"",#REF!,""),"")</f>
        <v>#REF!</v>
      </c>
      <c r="Y236">
        <v>59</v>
      </c>
      <c r="AD236" s="319"/>
      <c r="AE236" s="319"/>
      <c r="AF236" s="324"/>
      <c r="AG236" s="324"/>
      <c r="AH236" s="324"/>
      <c r="AQ236" s="319">
        <f t="shared" ref="AQ236:AQ243" si="10">$AP$178</f>
        <v>1</v>
      </c>
      <c r="AR236" s="321" t="e">
        <f t="shared" si="5"/>
        <v>#REF!</v>
      </c>
      <c r="AS236" s="395" t="e">
        <f>IF($B$38="P",IF(#REF!&lt;&gt;"",#REF!,""),"")</f>
        <v>#REF!</v>
      </c>
      <c r="AT236" s="395" t="e">
        <f>IF($B$38="P",IF(#REF!&lt;&gt;"",#REF!,""),"")</f>
        <v>#REF!</v>
      </c>
      <c r="AV236">
        <v>59</v>
      </c>
      <c r="AW236" s="324"/>
    </row>
    <row r="237" spans="18:49" ht="14.25" hidden="1" customHeight="1">
      <c r="R237">
        <f t="shared" si="7"/>
        <v>1</v>
      </c>
      <c r="S237" s="321" t="e">
        <f t="shared" si="2"/>
        <v>#REF!</v>
      </c>
      <c r="T237" s="395" t="e">
        <f>IF($B$38="P",IF(#REF!&lt;&gt;"",#REF!,""),"")</f>
        <v>#REF!</v>
      </c>
      <c r="U237" s="395" t="e">
        <f>IF($B$38="P",IF(#REF!&lt;&gt;"",ABS(#REF!),""),"")</f>
        <v>#REF!</v>
      </c>
      <c r="V237" s="395" t="e">
        <f>IF($B$38="P",IF(#REF!&lt;&gt;"",#REF!,""),"")</f>
        <v>#REF!</v>
      </c>
      <c r="W237" s="395" t="e">
        <f>IF($B$38="P",IF(#REF!&lt;&gt;"",#REF!,""),"")</f>
        <v>#REF!</v>
      </c>
      <c r="Y237">
        <v>60</v>
      </c>
      <c r="AD237" s="319"/>
      <c r="AE237" s="319"/>
      <c r="AF237" s="324"/>
      <c r="AG237" s="324"/>
      <c r="AH237" s="324"/>
      <c r="AQ237" s="319">
        <f t="shared" si="10"/>
        <v>1</v>
      </c>
      <c r="AR237" s="321" t="e">
        <f t="shared" si="5"/>
        <v>#REF!</v>
      </c>
      <c r="AS237" s="395" t="e">
        <f>IF($B$38="P",IF(#REF!&lt;&gt;"",#REF!,""),"")</f>
        <v>#REF!</v>
      </c>
      <c r="AT237" s="395" t="e">
        <f>IF($B$38="P",IF(#REF!&lt;&gt;"",#REF!,""),"")</f>
        <v>#REF!</v>
      </c>
      <c r="AV237">
        <v>60</v>
      </c>
      <c r="AW237" s="324"/>
    </row>
    <row r="238" spans="18:49" ht="14.25" hidden="1" customHeight="1">
      <c r="R238">
        <f t="shared" si="7"/>
        <v>1</v>
      </c>
      <c r="S238" s="321" t="e">
        <f t="shared" si="2"/>
        <v>#REF!</v>
      </c>
      <c r="T238" s="395" t="e">
        <f>IF($B$38="P",IF(#REF!&lt;&gt;"",#REF!,""),"")</f>
        <v>#REF!</v>
      </c>
      <c r="U238" s="395" t="e">
        <f>IF($B$38="P",IF(#REF!&lt;&gt;"",ABS(#REF!),""),"")</f>
        <v>#REF!</v>
      </c>
      <c r="V238" s="395" t="e">
        <f>IF($B$38="P",IF(#REF!&lt;&gt;"",#REF!,""),"")</f>
        <v>#REF!</v>
      </c>
      <c r="W238" s="395" t="e">
        <f>IF($B$38="P",IF(#REF!&lt;&gt;"",#REF!,""),"")</f>
        <v>#REF!</v>
      </c>
      <c r="Y238">
        <v>61</v>
      </c>
      <c r="AD238" s="319"/>
      <c r="AE238" s="319"/>
      <c r="AF238" s="324"/>
      <c r="AG238" s="324"/>
      <c r="AH238" s="324"/>
      <c r="AQ238" s="319">
        <f t="shared" si="10"/>
        <v>1</v>
      </c>
      <c r="AR238" s="321" t="e">
        <f t="shared" si="5"/>
        <v>#REF!</v>
      </c>
      <c r="AS238" s="395" t="e">
        <f>IF($B$38="P",IF(#REF!&lt;&gt;"",#REF!,""),"")</f>
        <v>#REF!</v>
      </c>
      <c r="AT238" s="395" t="e">
        <f>IF($B$38="P",IF(#REF!&lt;&gt;"",#REF!,""),"")</f>
        <v>#REF!</v>
      </c>
      <c r="AV238">
        <v>61</v>
      </c>
      <c r="AW238" s="324"/>
    </row>
    <row r="239" spans="18:49" ht="14.25" hidden="1" customHeight="1">
      <c r="R239">
        <f t="shared" si="7"/>
        <v>1</v>
      </c>
      <c r="S239" s="321" t="e">
        <f t="shared" si="2"/>
        <v>#REF!</v>
      </c>
      <c r="T239" s="395" t="e">
        <f>IF($B$38="P",IF(#REF!&lt;&gt;"",#REF!,""),"")</f>
        <v>#REF!</v>
      </c>
      <c r="U239" s="395" t="e">
        <f>IF($B$38="P",IF(#REF!&lt;&gt;"",ABS(#REF!),""),"")</f>
        <v>#REF!</v>
      </c>
      <c r="V239" s="395" t="e">
        <f>IF($B$38="P",IF(#REF!&lt;&gt;"",#REF!,""),"")</f>
        <v>#REF!</v>
      </c>
      <c r="W239" s="395" t="e">
        <f>IF($B$38="P",IF(#REF!&lt;&gt;"",#REF!,""),"")</f>
        <v>#REF!</v>
      </c>
      <c r="Y239">
        <v>62</v>
      </c>
      <c r="AQ239" s="319">
        <f t="shared" si="10"/>
        <v>1</v>
      </c>
      <c r="AR239" s="321" t="e">
        <f t="shared" si="5"/>
        <v>#REF!</v>
      </c>
      <c r="AS239" s="395" t="e">
        <f>IF($B$38="P",IF(#REF!&lt;&gt;"",#REF!,""),"")</f>
        <v>#REF!</v>
      </c>
      <c r="AT239" s="395" t="e">
        <f>IF($B$38="P",IF(#REF!&lt;&gt;"",#REF!,""),"")</f>
        <v>#REF!</v>
      </c>
      <c r="AV239">
        <v>62</v>
      </c>
      <c r="AW239" s="324"/>
    </row>
    <row r="240" spans="18:49" ht="14.25" hidden="1" customHeight="1">
      <c r="R240">
        <f t="shared" si="7"/>
        <v>1</v>
      </c>
      <c r="S240" s="321" t="e">
        <f t="shared" si="2"/>
        <v>#REF!</v>
      </c>
      <c r="T240" s="395" t="e">
        <f>IF($B$38="P",IF(#REF!&lt;&gt;"",#REF!,""),"")</f>
        <v>#REF!</v>
      </c>
      <c r="U240" s="395" t="e">
        <f>IF($B$38="P",IF(#REF!&lt;&gt;"",ABS(#REF!),""),"")</f>
        <v>#REF!</v>
      </c>
      <c r="V240" s="395" t="e">
        <f>IF($B$38="P",IF(#REF!&lt;&gt;"",#REF!,""),"")</f>
        <v>#REF!</v>
      </c>
      <c r="W240" s="395" t="e">
        <f>IF($B$38="P",IF(#REF!&lt;&gt;"",#REF!,""),"")</f>
        <v>#REF!</v>
      </c>
      <c r="Y240">
        <v>63</v>
      </c>
      <c r="AQ240" s="319">
        <f t="shared" si="10"/>
        <v>1</v>
      </c>
      <c r="AR240" s="321" t="e">
        <f t="shared" si="5"/>
        <v>#REF!</v>
      </c>
      <c r="AS240" s="395" t="e">
        <f>IF($B$38="P",IF(#REF!&lt;&gt;"",#REF!,""),"")</f>
        <v>#REF!</v>
      </c>
      <c r="AT240" s="395" t="e">
        <f>IF($B$38="P",IF(#REF!&lt;&gt;"",#REF!,""),"")</f>
        <v>#REF!</v>
      </c>
      <c r="AV240">
        <v>63</v>
      </c>
      <c r="AW240" s="324"/>
    </row>
    <row r="241" spans="18:49" ht="14.25" hidden="1" customHeight="1">
      <c r="R241">
        <f t="shared" si="7"/>
        <v>1</v>
      </c>
      <c r="S241" s="321" t="e">
        <f t="shared" si="2"/>
        <v>#REF!</v>
      </c>
      <c r="T241" s="395" t="e">
        <f>IF($B$38="P",IF(#REF!&lt;&gt;"",#REF!,""),"")</f>
        <v>#REF!</v>
      </c>
      <c r="U241" s="395" t="e">
        <f>IF($B$38="P",IF(#REF!&lt;&gt;"",ABS(#REF!),""),"")</f>
        <v>#REF!</v>
      </c>
      <c r="V241" s="395" t="e">
        <f>IF($B$38="P",IF(#REF!&lt;&gt;"",#REF!,""),"")</f>
        <v>#REF!</v>
      </c>
      <c r="W241" s="395" t="e">
        <f>IF($B$38="P",IF(#REF!&lt;&gt;"",#REF!,""),"")</f>
        <v>#REF!</v>
      </c>
      <c r="Y241">
        <v>64</v>
      </c>
      <c r="AQ241" s="319">
        <f t="shared" si="10"/>
        <v>1</v>
      </c>
      <c r="AR241" s="321" t="e">
        <f t="shared" si="5"/>
        <v>#REF!</v>
      </c>
      <c r="AS241" s="395" t="e">
        <f>IF($B$38="P",IF(#REF!&lt;&gt;"",#REF!,""),"")</f>
        <v>#REF!</v>
      </c>
      <c r="AT241" s="395" t="e">
        <f>IF($B$38="P",IF(#REF!&lt;&gt;"",#REF!,""),"")</f>
        <v>#REF!</v>
      </c>
      <c r="AV241">
        <v>64</v>
      </c>
      <c r="AW241" s="324"/>
    </row>
    <row r="242" spans="18:49" ht="14.25" hidden="1" customHeight="1">
      <c r="R242">
        <f t="shared" si="7"/>
        <v>1</v>
      </c>
      <c r="S242" s="321" t="e">
        <f t="shared" ref="S242:S254" si="11">IF($B$38="P",Y242,IF($B$38="Z",IF(Z242&lt;&gt;"",Z242,""),IF($B$38="M",IF(AA242&lt;&gt;"",AA242,""),Y242)))</f>
        <v>#REF!</v>
      </c>
      <c r="T242" s="395" t="e">
        <f>IF($B$38="P",IF(#REF!&lt;&gt;"",#REF!,""),"")</f>
        <v>#REF!</v>
      </c>
      <c r="U242" s="395" t="e">
        <f>IF($B$38="P",IF(#REF!&lt;&gt;"",ABS(#REF!),""),"")</f>
        <v>#REF!</v>
      </c>
      <c r="V242" s="395" t="e">
        <f>IF($B$38="P",IF(#REF!&lt;&gt;"",#REF!,""),"")</f>
        <v>#REF!</v>
      </c>
      <c r="W242" s="395" t="e">
        <f>IF($B$38="P",IF(#REF!&lt;&gt;"",#REF!,""),"")</f>
        <v>#REF!</v>
      </c>
      <c r="Y242">
        <v>65</v>
      </c>
      <c r="AQ242" s="319">
        <f t="shared" si="10"/>
        <v>1</v>
      </c>
      <c r="AR242" s="321" t="e">
        <f t="shared" ref="AR242:AR243" si="12">IF($B$38="P",AV242,IF($B$38="Z",IF(AW242&lt;&gt;"",AW242,""),IF($B$38="M",IF(AX242&lt;&gt;"",AX242,""),AV242)))</f>
        <v>#REF!</v>
      </c>
      <c r="AS242" s="395" t="e">
        <f>IF($B$38="P",IF(#REF!&lt;&gt;"",#REF!,""),"")</f>
        <v>#REF!</v>
      </c>
      <c r="AT242" s="395" t="e">
        <f>IF($B$38="P",IF(#REF!&lt;&gt;"",#REF!,""),"")</f>
        <v>#REF!</v>
      </c>
      <c r="AV242">
        <v>65</v>
      </c>
      <c r="AW242" s="324"/>
    </row>
    <row r="243" spans="18:49" ht="14.25" hidden="1" customHeight="1">
      <c r="R243">
        <f t="shared" si="7"/>
        <v>1</v>
      </c>
      <c r="S243" s="321" t="e">
        <f t="shared" si="11"/>
        <v>#REF!</v>
      </c>
      <c r="T243" s="395" t="e">
        <f>IF($B$38="P",IF(#REF!&lt;&gt;"",#REF!,""),"")</f>
        <v>#REF!</v>
      </c>
      <c r="U243" s="395" t="e">
        <f>IF($B$38="P",IF(#REF!&lt;&gt;"",ABS(#REF!),""),"")</f>
        <v>#REF!</v>
      </c>
      <c r="V243" s="395" t="e">
        <f>IF($B$38="P",IF(#REF!&lt;&gt;"",#REF!,""),"")</f>
        <v>#REF!</v>
      </c>
      <c r="W243" s="395" t="e">
        <f>IF($B$38="P",IF(#REF!&lt;&gt;"",#REF!,""),"")</f>
        <v>#REF!</v>
      </c>
      <c r="Y243">
        <v>66</v>
      </c>
      <c r="AQ243" s="319">
        <f t="shared" si="10"/>
        <v>1</v>
      </c>
      <c r="AR243" s="321" t="e">
        <f t="shared" si="12"/>
        <v>#REF!</v>
      </c>
      <c r="AS243" s="395" t="e">
        <f>IF($B$38="P",IF(#REF!&lt;&gt;"",#REF!,""),"")</f>
        <v>#REF!</v>
      </c>
      <c r="AT243" s="395" t="e">
        <f>IF($B$38="P",IF(#REF!&lt;&gt;"",#REF!,""),"")</f>
        <v>#REF!</v>
      </c>
      <c r="AV243">
        <v>66</v>
      </c>
      <c r="AW243" s="324"/>
    </row>
    <row r="244" spans="18:49" ht="14.25" hidden="1" customHeight="1">
      <c r="R244">
        <f t="shared" ref="R244:R254" si="13">$Q$178</f>
        <v>1</v>
      </c>
      <c r="S244" s="321" t="e">
        <f t="shared" si="11"/>
        <v>#REF!</v>
      </c>
      <c r="T244" s="395" t="e">
        <f>IF($B$38="P",IF(#REF!&lt;&gt;"",#REF!,""),"")</f>
        <v>#REF!</v>
      </c>
      <c r="U244" s="395" t="e">
        <f>IF($B$38="P",IF(#REF!&lt;&gt;"",ABS(#REF!),""),"")</f>
        <v>#REF!</v>
      </c>
      <c r="V244" s="395" t="e">
        <f>IF($B$38="P",IF(#REF!&lt;&gt;"",#REF!,""),"")</f>
        <v>#REF!</v>
      </c>
      <c r="W244" s="395" t="e">
        <f>IF($B$38="P",IF(#REF!&lt;&gt;"",#REF!,""),"")</f>
        <v>#REF!</v>
      </c>
      <c r="Y244">
        <v>67</v>
      </c>
    </row>
    <row r="245" spans="18:49" ht="14.25" hidden="1" customHeight="1">
      <c r="R245">
        <f t="shared" si="13"/>
        <v>1</v>
      </c>
      <c r="S245" s="321" t="e">
        <f t="shared" si="11"/>
        <v>#REF!</v>
      </c>
      <c r="T245" s="395" t="e">
        <f>IF($B$38="P",IF(#REF!&lt;&gt;"",#REF!,""),"")</f>
        <v>#REF!</v>
      </c>
      <c r="U245" s="395" t="e">
        <f>IF($B$38="P",IF(#REF!&lt;&gt;"",ABS(#REF!),""),"")</f>
        <v>#REF!</v>
      </c>
      <c r="V245" s="395" t="e">
        <f>IF($B$38="P",IF(#REF!&lt;&gt;"",#REF!,""),"")</f>
        <v>#REF!</v>
      </c>
      <c r="W245" s="395" t="e">
        <f>IF($B$38="P",IF(#REF!&lt;&gt;"",#REF!,""),"")</f>
        <v>#REF!</v>
      </c>
      <c r="Y245">
        <v>68</v>
      </c>
    </row>
    <row r="246" spans="18:49" ht="14.25" hidden="1" customHeight="1">
      <c r="R246">
        <f t="shared" si="13"/>
        <v>1</v>
      </c>
      <c r="S246" s="321" t="e">
        <f t="shared" si="11"/>
        <v>#REF!</v>
      </c>
      <c r="T246" s="395" t="e">
        <f>IF($B$38="P",IF(#REF!&lt;&gt;"",#REF!,""),"")</f>
        <v>#REF!</v>
      </c>
      <c r="U246" s="395" t="e">
        <f>IF($B$38="P",IF(#REF!&lt;&gt;"",ABS(#REF!),""),"")</f>
        <v>#REF!</v>
      </c>
      <c r="V246" s="395" t="e">
        <f>IF($B$38="P",IF(#REF!&lt;&gt;"",#REF!,""),"")</f>
        <v>#REF!</v>
      </c>
      <c r="W246" s="395" t="e">
        <f>IF($B$38="P",IF(#REF!&lt;&gt;"",#REF!,""),"")</f>
        <v>#REF!</v>
      </c>
      <c r="Y246">
        <v>69</v>
      </c>
    </row>
    <row r="247" spans="18:49" ht="14.25" hidden="1" customHeight="1">
      <c r="R247">
        <f t="shared" si="13"/>
        <v>1</v>
      </c>
      <c r="S247" s="321" t="e">
        <f t="shared" si="11"/>
        <v>#REF!</v>
      </c>
      <c r="T247" s="395" t="e">
        <f>IF($B$38="P",IF(#REF!&lt;&gt;"",#REF!,""),"")</f>
        <v>#REF!</v>
      </c>
      <c r="U247" s="395" t="e">
        <f>IF($B$38="P",IF(#REF!&lt;&gt;"",ABS(#REF!),""),"")</f>
        <v>#REF!</v>
      </c>
      <c r="V247" s="395" t="e">
        <f>IF($B$38="P",IF(#REF!&lt;&gt;"",#REF!,""),"")</f>
        <v>#REF!</v>
      </c>
      <c r="W247" s="395" t="e">
        <f>IF($B$38="P",IF(#REF!&lt;&gt;"",#REF!,""),"")</f>
        <v>#REF!</v>
      </c>
      <c r="Y247">
        <v>70</v>
      </c>
    </row>
    <row r="248" spans="18:49" ht="14.25" hidden="1" customHeight="1">
      <c r="R248">
        <f t="shared" si="13"/>
        <v>1</v>
      </c>
      <c r="S248" s="321" t="e">
        <f t="shared" si="11"/>
        <v>#REF!</v>
      </c>
      <c r="T248" s="395" t="e">
        <f>IF($B$38="P",IF(#REF!&lt;&gt;"",#REF!,""),"")</f>
        <v>#REF!</v>
      </c>
      <c r="U248" s="395" t="e">
        <f>IF($B$38="P",IF(#REF!&lt;&gt;"",ABS(#REF!),""),"")</f>
        <v>#REF!</v>
      </c>
      <c r="V248" s="395" t="e">
        <f>IF($B$38="P",IF(#REF!&lt;&gt;"",#REF!,""),"")</f>
        <v>#REF!</v>
      </c>
      <c r="W248" s="395" t="e">
        <f>IF($B$38="P",IF(#REF!&lt;&gt;"",#REF!,""),"")</f>
        <v>#REF!</v>
      </c>
      <c r="Y248">
        <v>71</v>
      </c>
    </row>
    <row r="249" spans="18:49" ht="14.25" hidden="1" customHeight="1">
      <c r="R249">
        <f t="shared" si="13"/>
        <v>1</v>
      </c>
      <c r="S249" s="321" t="e">
        <f t="shared" si="11"/>
        <v>#REF!</v>
      </c>
      <c r="T249" s="395" t="e">
        <f>IF($B$38="P",IF(#REF!&lt;&gt;"",#REF!,""),"")</f>
        <v>#REF!</v>
      </c>
      <c r="U249" s="395" t="e">
        <f>IF($B$38="P",IF(#REF!&lt;&gt;"",ABS(#REF!),""),"")</f>
        <v>#REF!</v>
      </c>
      <c r="V249" s="395" t="e">
        <f>IF($B$38="P",IF(#REF!&lt;&gt;"",#REF!,""),"")</f>
        <v>#REF!</v>
      </c>
      <c r="W249" s="395" t="e">
        <f>IF($B$38="P",IF(#REF!&lt;&gt;"",#REF!,""),"")</f>
        <v>#REF!</v>
      </c>
      <c r="Y249">
        <v>72</v>
      </c>
    </row>
    <row r="250" spans="18:49" ht="14.25" hidden="1" customHeight="1">
      <c r="R250">
        <f t="shared" si="13"/>
        <v>1</v>
      </c>
      <c r="S250" s="321" t="e">
        <f t="shared" si="11"/>
        <v>#REF!</v>
      </c>
      <c r="T250" s="395" t="e">
        <f>IF($B$38="P",IF(#REF!&lt;&gt;"",#REF!,""),"")</f>
        <v>#REF!</v>
      </c>
      <c r="U250" s="395" t="e">
        <f>IF($B$38="P",IF(#REF!&lt;&gt;"",ABS(#REF!),""),"")</f>
        <v>#REF!</v>
      </c>
      <c r="V250" s="395" t="e">
        <f>IF($B$38="P",IF(#REF!&lt;&gt;"",#REF!,""),"")</f>
        <v>#REF!</v>
      </c>
      <c r="W250" s="395" t="e">
        <f>IF($B$38="P",IF(#REF!&lt;&gt;"",#REF!,""),"")</f>
        <v>#REF!</v>
      </c>
      <c r="Y250">
        <v>73</v>
      </c>
    </row>
    <row r="251" spans="18:49" ht="14.25" hidden="1" customHeight="1">
      <c r="R251">
        <f t="shared" si="13"/>
        <v>1</v>
      </c>
      <c r="S251" s="321" t="e">
        <f t="shared" si="11"/>
        <v>#REF!</v>
      </c>
      <c r="T251" s="395" t="e">
        <f>IF($B$38="P",IF(#REF!&lt;&gt;"",#REF!,""),"")</f>
        <v>#REF!</v>
      </c>
      <c r="U251" s="395" t="e">
        <f>IF($B$38="P",IF(#REF!&lt;&gt;"",ABS(#REF!),""),"")</f>
        <v>#REF!</v>
      </c>
      <c r="V251" s="395" t="e">
        <f>IF($B$38="P",IF(#REF!&lt;&gt;"",#REF!,""),"")</f>
        <v>#REF!</v>
      </c>
      <c r="W251" s="395" t="e">
        <f>IF($B$38="P",IF(#REF!&lt;&gt;"",#REF!,""),"")</f>
        <v>#REF!</v>
      </c>
      <c r="Y251">
        <v>74</v>
      </c>
    </row>
    <row r="252" spans="18:49" ht="14.25" hidden="1" customHeight="1">
      <c r="R252">
        <f t="shared" si="13"/>
        <v>1</v>
      </c>
      <c r="S252" s="321" t="e">
        <f t="shared" si="11"/>
        <v>#REF!</v>
      </c>
      <c r="T252" s="395" t="e">
        <f>IF($B$38="P",IF(#REF!&lt;&gt;"",#REF!,""),"")</f>
        <v>#REF!</v>
      </c>
      <c r="U252" s="395" t="e">
        <f>IF($B$38="P",IF(#REF!&lt;&gt;"",ABS(#REF!),""),"")</f>
        <v>#REF!</v>
      </c>
      <c r="V252" s="395" t="e">
        <f>IF($B$38="P",IF(#REF!&lt;&gt;"",#REF!,""),"")</f>
        <v>#REF!</v>
      </c>
      <c r="W252" s="395" t="e">
        <f>IF($B$38="P",IF(#REF!&lt;&gt;"",#REF!,""),"")</f>
        <v>#REF!</v>
      </c>
      <c r="Y252">
        <v>75</v>
      </c>
    </row>
    <row r="253" spans="18:49" ht="14.25" hidden="1" customHeight="1">
      <c r="R253">
        <f t="shared" si="13"/>
        <v>1</v>
      </c>
      <c r="S253" s="321" t="e">
        <f t="shared" si="11"/>
        <v>#REF!</v>
      </c>
      <c r="T253" s="395" t="e">
        <f>IF($B$38="P",IF(#REF!&lt;&gt;"",#REF!,""),"")</f>
        <v>#REF!</v>
      </c>
      <c r="U253" s="395" t="e">
        <f>IF($B$38="P",IF(#REF!&lt;&gt;"",ABS(#REF!),""),"")</f>
        <v>#REF!</v>
      </c>
      <c r="V253" s="395" t="e">
        <f>IF($B$38="P",IF(#REF!&lt;&gt;"",#REF!,""),"")</f>
        <v>#REF!</v>
      </c>
      <c r="W253" s="395" t="e">
        <f>IF($B$38="P",IF(#REF!&lt;&gt;"",#REF!,""),"")</f>
        <v>#REF!</v>
      </c>
      <c r="Y253">
        <v>76</v>
      </c>
    </row>
    <row r="254" spans="18:49" ht="14.25" hidden="1" customHeight="1">
      <c r="R254">
        <f t="shared" si="13"/>
        <v>1</v>
      </c>
      <c r="S254" s="321" t="e">
        <f t="shared" si="11"/>
        <v>#REF!</v>
      </c>
      <c r="T254" s="395" t="e">
        <f>IF($B$38="P",IF(#REF!&lt;&gt;"",#REF!,""),"")</f>
        <v>#REF!</v>
      </c>
      <c r="U254" s="395" t="e">
        <f>IF($B$38="P",IF(#REF!&lt;&gt;"",ABS(#REF!),""),"")</f>
        <v>#REF!</v>
      </c>
      <c r="V254" s="395" t="e">
        <f>IF($B$38="P",IF(#REF!&lt;&gt;"",#REF!,""),"")</f>
        <v>#REF!</v>
      </c>
      <c r="W254" s="395" t="e">
        <f>IF($B$38="P",IF(#REF!&lt;&gt;"",#REF!,""),"")</f>
        <v>#REF!</v>
      </c>
      <c r="Y254">
        <v>77</v>
      </c>
    </row>
    <row r="271" spans="17:24" ht="14.25" hidden="1" customHeight="1">
      <c r="Q271" t="s">
        <v>643</v>
      </c>
      <c r="R271" s="261" t="s">
        <v>633</v>
      </c>
      <c r="S271" s="264" t="s">
        <v>634</v>
      </c>
      <c r="T271" s="264" t="s">
        <v>635</v>
      </c>
      <c r="U271" s="264" t="s">
        <v>636</v>
      </c>
      <c r="V271" s="264" t="s">
        <v>637</v>
      </c>
      <c r="W271" s="264" t="s">
        <v>638</v>
      </c>
      <c r="X271" s="264" t="s">
        <v>645</v>
      </c>
    </row>
    <row r="272" spans="17:24" ht="14.25" hidden="1" customHeight="1">
      <c r="X272" s="262"/>
    </row>
    <row r="281" spans="17:22" ht="14.25" hidden="1" customHeight="1">
      <c r="Q281" t="s">
        <v>644</v>
      </c>
      <c r="R281" s="261" t="s">
        <v>633</v>
      </c>
      <c r="S281" s="264" t="s">
        <v>634</v>
      </c>
      <c r="T281" s="264" t="s">
        <v>639</v>
      </c>
      <c r="U281" s="264" t="s">
        <v>640</v>
      </c>
      <c r="V281" s="264" t="s">
        <v>645</v>
      </c>
    </row>
    <row r="282" spans="17:22" ht="14.25" hidden="1" customHeight="1">
      <c r="V282" s="262"/>
    </row>
    <row r="291" spans="17:21" ht="14.25" hidden="1" customHeight="1">
      <c r="Q291" t="s">
        <v>650</v>
      </c>
      <c r="R291" s="261" t="s">
        <v>646</v>
      </c>
      <c r="S291" s="264" t="s">
        <v>647</v>
      </c>
      <c r="T291" s="264" t="s">
        <v>648</v>
      </c>
      <c r="U291" s="264" t="s">
        <v>649</v>
      </c>
    </row>
    <row r="292" spans="17:21" ht="14.2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17" t="str">
        <f>IF('2Př'!C30&lt;&gt;"",LEFT('2Př'!C30,1),"")</f>
        <v/>
      </c>
    </row>
    <row r="294" spans="17:21" ht="14.25" hidden="1" customHeight="1">
      <c r="R294" s="268" t="s">
        <v>3350</v>
      </c>
      <c r="S294" s="268" t="s">
        <v>3350</v>
      </c>
      <c r="T294" s="268" t="s">
        <v>3350</v>
      </c>
      <c r="U294" s="268" t="s">
        <v>3350</v>
      </c>
    </row>
    <row r="301" spans="17:21" ht="14.25" hidden="1" customHeight="1">
      <c r="Q301" t="s">
        <v>651</v>
      </c>
      <c r="R301" s="263" t="s">
        <v>652</v>
      </c>
      <c r="S301" s="265" t="s">
        <v>653</v>
      </c>
      <c r="T301" s="265" t="s">
        <v>654</v>
      </c>
      <c r="U301" s="265" t="s">
        <v>655</v>
      </c>
    </row>
    <row r="302" spans="17:21" ht="14.25" hidden="1" customHeight="1">
      <c r="S302" s="262"/>
      <c r="T302" s="262"/>
      <c r="U302" s="262"/>
    </row>
    <row r="311" spans="17:22" ht="14.25" hidden="1" customHeight="1">
      <c r="Q311" t="s">
        <v>656</v>
      </c>
      <c r="R311" t="s">
        <v>652</v>
      </c>
      <c r="S311" t="s">
        <v>653</v>
      </c>
      <c r="T311" t="s">
        <v>654</v>
      </c>
      <c r="U311" t="s">
        <v>655</v>
      </c>
      <c r="V311" t="s">
        <v>657</v>
      </c>
    </row>
    <row r="312" spans="17:22" ht="14.25" hidden="1" customHeight="1">
      <c r="S312" s="262"/>
      <c r="T312" s="262"/>
      <c r="U312" s="262"/>
      <c r="V312" s="262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 codeName="List20">
    <tabColor theme="0"/>
    <pageSetUpPr fitToPage="1"/>
  </sheetPr>
  <dimension ref="A1:BU601"/>
  <sheetViews>
    <sheetView workbookViewId="0">
      <selection activeCell="M14" sqref="M14"/>
    </sheetView>
  </sheetViews>
  <sheetFormatPr defaultRowHeight="12.75"/>
  <cols>
    <col min="1" max="1" width="4.42578125" style="440" bestFit="1" customWidth="1"/>
    <col min="2" max="2" width="10" style="440" customWidth="1"/>
    <col min="3" max="3" width="36.140625" style="440" customWidth="1"/>
    <col min="4" max="11" width="7.7109375" style="440" customWidth="1"/>
    <col min="12" max="73" width="9.140625" style="439"/>
    <col min="74" max="16384" width="9.140625" style="440"/>
  </cols>
  <sheetData>
    <row r="1" spans="1:73" ht="30" customHeight="1" thickBot="1">
      <c r="A1" s="1248" t="s">
        <v>3645</v>
      </c>
      <c r="B1" s="1248"/>
      <c r="C1" s="1249"/>
      <c r="D1" s="1249"/>
      <c r="E1" s="1249"/>
      <c r="F1" s="1249"/>
      <c r="G1" s="1249"/>
      <c r="H1" s="1249"/>
      <c r="I1" s="1249"/>
      <c r="J1" s="1249"/>
      <c r="K1" s="1249"/>
    </row>
    <row r="2" spans="1:73" ht="22.5" customHeight="1">
      <c r="A2" s="1250"/>
      <c r="B2" s="1253" t="s">
        <v>3383</v>
      </c>
      <c r="C2" s="1254"/>
      <c r="D2" s="1253" t="s">
        <v>131</v>
      </c>
      <c r="E2" s="1257"/>
      <c r="F2" s="1258" t="s">
        <v>3381</v>
      </c>
      <c r="G2" s="1259"/>
      <c r="H2" s="1258" t="s">
        <v>3382</v>
      </c>
      <c r="I2" s="1259"/>
      <c r="J2" s="1258" t="s">
        <v>3457</v>
      </c>
      <c r="K2" s="1260"/>
      <c r="BQ2" s="440"/>
      <c r="BR2" s="440"/>
      <c r="BS2" s="440"/>
      <c r="BT2" s="440"/>
      <c r="BU2" s="440"/>
    </row>
    <row r="3" spans="1:73" ht="21.95" customHeight="1">
      <c r="A3" s="1251"/>
      <c r="B3" s="1255"/>
      <c r="C3" s="1256"/>
      <c r="D3" s="1255"/>
      <c r="E3" s="1256"/>
      <c r="F3" s="441" t="s">
        <v>3455</v>
      </c>
      <c r="G3" s="441" t="s">
        <v>3456</v>
      </c>
      <c r="H3" s="441" t="s">
        <v>3455</v>
      </c>
      <c r="I3" s="441" t="s">
        <v>3456</v>
      </c>
      <c r="J3" s="441" t="s">
        <v>3455</v>
      </c>
      <c r="K3" s="442" t="s">
        <v>3456</v>
      </c>
      <c r="BQ3" s="440"/>
      <c r="BR3" s="440"/>
      <c r="BS3" s="440"/>
      <c r="BT3" s="440"/>
      <c r="BU3" s="440"/>
    </row>
    <row r="4" spans="1:73" ht="12" customHeight="1">
      <c r="A4" s="1252"/>
      <c r="B4" s="1261">
        <v>1</v>
      </c>
      <c r="C4" s="1262"/>
      <c r="D4" s="1261">
        <v>2</v>
      </c>
      <c r="E4" s="1261"/>
      <c r="F4" s="1263">
        <v>3</v>
      </c>
      <c r="G4" s="1264"/>
      <c r="H4" s="1263">
        <v>4</v>
      </c>
      <c r="I4" s="1264"/>
      <c r="J4" s="1263">
        <v>5</v>
      </c>
      <c r="K4" s="1265"/>
      <c r="BQ4" s="440"/>
      <c r="BR4" s="440"/>
      <c r="BS4" s="440"/>
      <c r="BT4" s="440"/>
      <c r="BU4" s="440"/>
    </row>
    <row r="5" spans="1:73" ht="18" customHeight="1">
      <c r="A5" s="443">
        <v>5</v>
      </c>
      <c r="B5" s="1266" t="s">
        <v>125</v>
      </c>
      <c r="C5" s="1267"/>
      <c r="D5" s="1268"/>
      <c r="E5" s="1269"/>
      <c r="F5" s="444"/>
      <c r="G5" s="444"/>
      <c r="H5" s="444"/>
      <c r="I5" s="444"/>
      <c r="J5" s="445"/>
      <c r="K5" s="446"/>
      <c r="BQ5" s="440"/>
      <c r="BR5" s="440"/>
      <c r="BS5" s="440"/>
      <c r="BT5" s="440"/>
      <c r="BU5" s="440"/>
    </row>
    <row r="6" spans="1:73" ht="18" customHeight="1">
      <c r="A6" s="443">
        <v>6</v>
      </c>
      <c r="B6" s="1266" t="s">
        <v>125</v>
      </c>
      <c r="C6" s="1267"/>
      <c r="D6" s="1268"/>
      <c r="E6" s="1268"/>
      <c r="F6" s="444"/>
      <c r="G6" s="444"/>
      <c r="H6" s="444"/>
      <c r="I6" s="444"/>
      <c r="J6" s="445"/>
      <c r="K6" s="446"/>
      <c r="BQ6" s="440"/>
      <c r="BR6" s="440"/>
      <c r="BS6" s="440"/>
      <c r="BT6" s="440"/>
      <c r="BU6" s="440"/>
    </row>
    <row r="7" spans="1:73" ht="18" customHeight="1">
      <c r="A7" s="443">
        <v>7</v>
      </c>
      <c r="B7" s="1266" t="s">
        <v>125</v>
      </c>
      <c r="C7" s="1267"/>
      <c r="D7" s="1268"/>
      <c r="E7" s="1268"/>
      <c r="F7" s="444"/>
      <c r="G7" s="444"/>
      <c r="H7" s="444"/>
      <c r="I7" s="444"/>
      <c r="J7" s="445"/>
      <c r="K7" s="446"/>
      <c r="BQ7" s="440"/>
      <c r="BR7" s="440"/>
      <c r="BS7" s="440"/>
      <c r="BT7" s="440"/>
      <c r="BU7" s="440"/>
    </row>
    <row r="8" spans="1:73" ht="18" customHeight="1">
      <c r="A8" s="443">
        <v>8</v>
      </c>
      <c r="B8" s="1266" t="s">
        <v>125</v>
      </c>
      <c r="C8" s="1267"/>
      <c r="D8" s="1268"/>
      <c r="E8" s="1268"/>
      <c r="F8" s="444"/>
      <c r="G8" s="444"/>
      <c r="H8" s="444"/>
      <c r="I8" s="444"/>
      <c r="J8" s="445"/>
      <c r="K8" s="446"/>
      <c r="BQ8" s="440"/>
      <c r="BR8" s="440"/>
      <c r="BS8" s="440"/>
      <c r="BT8" s="440"/>
      <c r="BU8" s="440"/>
    </row>
    <row r="9" spans="1:73" ht="18" customHeight="1">
      <c r="A9" s="443">
        <v>9</v>
      </c>
      <c r="B9" s="1266" t="s">
        <v>125</v>
      </c>
      <c r="C9" s="1267"/>
      <c r="D9" s="1268"/>
      <c r="E9" s="1268"/>
      <c r="F9" s="444"/>
      <c r="G9" s="444"/>
      <c r="H9" s="444"/>
      <c r="I9" s="444"/>
      <c r="J9" s="445"/>
      <c r="K9" s="446"/>
      <c r="BQ9" s="440"/>
      <c r="BR9" s="440"/>
      <c r="BS9" s="440"/>
      <c r="BT9" s="440"/>
      <c r="BU9" s="440"/>
    </row>
    <row r="10" spans="1:73" ht="18" customHeight="1">
      <c r="A10" s="443">
        <v>10</v>
      </c>
      <c r="B10" s="1266" t="s">
        <v>125</v>
      </c>
      <c r="C10" s="1267"/>
      <c r="D10" s="1268"/>
      <c r="E10" s="1268"/>
      <c r="F10" s="444"/>
      <c r="G10" s="444"/>
      <c r="H10" s="444"/>
      <c r="I10" s="444"/>
      <c r="J10" s="445"/>
      <c r="K10" s="446"/>
      <c r="BQ10" s="440"/>
      <c r="BR10" s="440"/>
      <c r="BS10" s="440"/>
      <c r="BT10" s="440"/>
      <c r="BU10" s="440"/>
    </row>
    <row r="11" spans="1:73" ht="18" customHeight="1">
      <c r="A11" s="443">
        <v>11</v>
      </c>
      <c r="B11" s="1266" t="s">
        <v>125</v>
      </c>
      <c r="C11" s="1267"/>
      <c r="D11" s="1268"/>
      <c r="E11" s="1268"/>
      <c r="F11" s="444"/>
      <c r="G11" s="444"/>
      <c r="H11" s="444"/>
      <c r="I11" s="444"/>
      <c r="J11" s="445"/>
      <c r="K11" s="446"/>
      <c r="BQ11" s="440"/>
      <c r="BR11" s="440"/>
      <c r="BS11" s="440"/>
      <c r="BT11" s="440"/>
      <c r="BU11" s="440"/>
    </row>
    <row r="12" spans="1:73" ht="18" customHeight="1">
      <c r="A12" s="443">
        <v>12</v>
      </c>
      <c r="B12" s="1266" t="s">
        <v>125</v>
      </c>
      <c r="C12" s="1267"/>
      <c r="D12" s="1268"/>
      <c r="E12" s="1268"/>
      <c r="F12" s="444"/>
      <c r="G12" s="444"/>
      <c r="H12" s="444"/>
      <c r="I12" s="444"/>
      <c r="J12" s="445"/>
      <c r="K12" s="446"/>
      <c r="BQ12" s="440"/>
      <c r="BR12" s="440"/>
      <c r="BS12" s="440"/>
      <c r="BT12" s="440"/>
      <c r="BU12" s="440"/>
    </row>
    <row r="13" spans="1:73" ht="15.95" customHeight="1" thickBot="1">
      <c r="A13" s="447"/>
      <c r="B13" s="1270" t="s">
        <v>54</v>
      </c>
      <c r="C13" s="1271"/>
      <c r="D13" s="1272"/>
      <c r="E13" s="1272"/>
      <c r="F13" s="448">
        <f t="shared" ref="F13:K13" si="0">+SUM(F5:F12)</f>
        <v>0</v>
      </c>
      <c r="G13" s="448">
        <f t="shared" si="0"/>
        <v>0</v>
      </c>
      <c r="H13" s="448">
        <f t="shared" si="0"/>
        <v>0</v>
      </c>
      <c r="I13" s="448">
        <f t="shared" si="0"/>
        <v>0</v>
      </c>
      <c r="J13" s="448">
        <f t="shared" si="0"/>
        <v>0</v>
      </c>
      <c r="K13" s="449">
        <f t="shared" si="0"/>
        <v>0</v>
      </c>
      <c r="BU13" s="440"/>
    </row>
    <row r="14" spans="1:73" s="439" customFormat="1" ht="99.95" customHeight="1">
      <c r="A14" s="1273"/>
      <c r="B14" s="1273"/>
      <c r="C14" s="1274"/>
      <c r="D14" s="1274"/>
      <c r="E14" s="1274"/>
      <c r="F14" s="1274"/>
      <c r="G14" s="1274"/>
      <c r="H14" s="1274"/>
      <c r="I14" s="1274"/>
      <c r="J14" s="1274"/>
      <c r="K14" s="1274"/>
    </row>
    <row r="15" spans="1:73" s="439" customFormat="1" ht="99.95" customHeight="1">
      <c r="A15" s="1275"/>
      <c r="B15" s="1275"/>
      <c r="C15" s="1275"/>
      <c r="D15" s="1275"/>
      <c r="E15" s="1275"/>
      <c r="F15" s="1275"/>
      <c r="G15" s="1275"/>
      <c r="H15" s="1275"/>
      <c r="I15" s="1275"/>
      <c r="J15" s="1275"/>
      <c r="K15" s="1275"/>
    </row>
    <row r="16" spans="1:73" s="439" customFormat="1"/>
    <row r="17" s="439" customFormat="1"/>
    <row r="18" s="439" customFormat="1"/>
    <row r="19" s="439" customFormat="1"/>
    <row r="20" s="439" customFormat="1"/>
    <row r="21" s="439" customFormat="1"/>
    <row r="22" s="439" customFormat="1"/>
    <row r="23" s="439" customFormat="1"/>
    <row r="24" s="439" customFormat="1"/>
    <row r="25" s="439" customFormat="1"/>
    <row r="26" s="439" customFormat="1"/>
    <row r="27" s="439" customFormat="1"/>
    <row r="28" s="439" customFormat="1"/>
    <row r="29" s="439" customFormat="1"/>
    <row r="30" s="439" customFormat="1"/>
    <row r="31" s="439" customFormat="1"/>
    <row r="32" s="439" customFormat="1"/>
    <row r="33" s="439" customFormat="1"/>
    <row r="34" s="439" customFormat="1"/>
    <row r="35" s="439" customFormat="1"/>
    <row r="36" s="439" customFormat="1"/>
    <row r="37" s="439" customFormat="1"/>
    <row r="38" s="439" customFormat="1"/>
    <row r="39" s="439" customFormat="1"/>
    <row r="40" s="439" customFormat="1"/>
    <row r="41" s="439" customFormat="1"/>
    <row r="42" s="439" customFormat="1"/>
    <row r="43" s="439" customFormat="1"/>
    <row r="44" s="439" customFormat="1"/>
    <row r="45" s="439" customFormat="1"/>
    <row r="46" s="439" customFormat="1"/>
    <row r="47" s="439" customFormat="1"/>
    <row r="48" s="439" customFormat="1"/>
    <row r="49" s="439" customFormat="1"/>
    <row r="50" s="439" customFormat="1"/>
    <row r="51" s="439" customFormat="1"/>
    <row r="52" s="439" customFormat="1"/>
    <row r="53" s="439" customFormat="1"/>
    <row r="54" s="439" customFormat="1"/>
    <row r="55" s="439" customFormat="1"/>
    <row r="56" s="439" customFormat="1"/>
    <row r="57" s="439" customFormat="1"/>
    <row r="58" s="439" customFormat="1"/>
    <row r="59" s="439" customFormat="1"/>
    <row r="60" s="439" customFormat="1"/>
    <row r="61" s="439" customFormat="1"/>
    <row r="62" s="439" customFormat="1"/>
    <row r="63" s="439" customFormat="1"/>
    <row r="64" s="439" customFormat="1"/>
    <row r="65" s="439" customFormat="1"/>
    <row r="66" s="439" customFormat="1"/>
    <row r="67" s="439" customFormat="1"/>
    <row r="68" s="439" customFormat="1"/>
    <row r="69" s="439" customFormat="1"/>
    <row r="70" s="439" customFormat="1"/>
    <row r="71" s="439" customFormat="1"/>
    <row r="72" s="439" customFormat="1"/>
    <row r="73" s="439" customFormat="1"/>
    <row r="74" s="439" customFormat="1"/>
    <row r="75" s="439" customFormat="1"/>
    <row r="76" s="439" customFormat="1"/>
    <row r="77" s="439" customFormat="1"/>
    <row r="78" s="439" customFormat="1"/>
    <row r="79" s="439" customFormat="1"/>
    <row r="80" s="439" customFormat="1"/>
    <row r="81" s="439" customFormat="1"/>
    <row r="82" s="439" customFormat="1"/>
    <row r="83" s="439" customFormat="1"/>
    <row r="84" s="439" customFormat="1"/>
    <row r="85" s="439" customFormat="1"/>
    <row r="86" s="439" customFormat="1"/>
    <row r="87" s="439" customFormat="1"/>
    <row r="88" s="439" customFormat="1"/>
    <row r="89" s="439" customFormat="1"/>
    <row r="90" s="439" customFormat="1"/>
    <row r="91" s="439" customFormat="1"/>
    <row r="92" s="439" customFormat="1"/>
    <row r="93" s="439" customFormat="1"/>
    <row r="94" s="439" customFormat="1"/>
    <row r="95" s="439" customFormat="1"/>
    <row r="96" s="439" customFormat="1"/>
    <row r="97" s="439" customFormat="1"/>
    <row r="98" s="439" customFormat="1"/>
    <row r="99" s="439" customFormat="1"/>
    <row r="100" s="439" customFormat="1"/>
    <row r="101" s="439" customFormat="1"/>
    <row r="102" s="439" customFormat="1"/>
    <row r="103" s="439" customFormat="1"/>
    <row r="104" s="439" customFormat="1"/>
    <row r="105" s="439" customFormat="1"/>
    <row r="106" s="439" customFormat="1"/>
    <row r="107" s="439" customFormat="1"/>
    <row r="108" s="439" customFormat="1"/>
    <row r="109" s="439" customFormat="1"/>
    <row r="110" s="439" customFormat="1"/>
    <row r="111" s="439" customFormat="1"/>
    <row r="112" s="439" customFormat="1"/>
    <row r="113" s="439" customFormat="1"/>
    <row r="114" s="439" customFormat="1"/>
    <row r="115" s="439" customFormat="1"/>
    <row r="116" s="439" customFormat="1"/>
    <row r="117" s="439" customFormat="1"/>
    <row r="118" s="439" customFormat="1"/>
    <row r="119" s="439" customFormat="1"/>
    <row r="120" s="439" customFormat="1"/>
    <row r="121" s="439" customFormat="1"/>
    <row r="122" s="439" customFormat="1"/>
    <row r="123" s="439" customFormat="1"/>
    <row r="124" s="439" customFormat="1"/>
    <row r="125" s="439" customFormat="1"/>
    <row r="126" s="439" customFormat="1"/>
    <row r="127" s="439" customFormat="1"/>
    <row r="128" s="439" customFormat="1"/>
    <row r="129" s="439" customFormat="1"/>
    <row r="130" s="439" customFormat="1"/>
    <row r="131" s="439" customFormat="1"/>
    <row r="132" s="439" customFormat="1"/>
    <row r="133" s="439" customFormat="1"/>
    <row r="134" s="439" customFormat="1"/>
    <row r="135" s="439" customFormat="1"/>
    <row r="136" s="439" customFormat="1"/>
    <row r="137" s="439" customFormat="1"/>
    <row r="138" s="439" customFormat="1"/>
    <row r="139" s="439" customFormat="1"/>
    <row r="140" s="439" customFormat="1"/>
    <row r="141" s="439" customFormat="1"/>
    <row r="142" s="439" customFormat="1"/>
    <row r="143" s="439" customFormat="1"/>
    <row r="144" s="439" customFormat="1"/>
    <row r="145" s="439" customFormat="1"/>
    <row r="146" s="439" customFormat="1"/>
    <row r="147" s="439" customFormat="1"/>
    <row r="148" s="439" customFormat="1"/>
    <row r="149" s="439" customFormat="1"/>
    <row r="150" s="439" customFormat="1"/>
    <row r="151" s="439" customFormat="1"/>
    <row r="152" s="439" customFormat="1"/>
    <row r="153" s="439" customFormat="1"/>
    <row r="154" s="439" customFormat="1"/>
    <row r="155" s="439" customFormat="1"/>
    <row r="156" s="439" customFormat="1"/>
    <row r="157" s="439" customFormat="1"/>
    <row r="158" s="439" customFormat="1"/>
    <row r="159" s="439" customFormat="1"/>
    <row r="160" s="439" customFormat="1"/>
    <row r="161" s="439" customFormat="1"/>
    <row r="162" s="439" customFormat="1"/>
    <row r="163" s="439" customFormat="1"/>
    <row r="164" s="439" customFormat="1"/>
    <row r="165" s="439" customFormat="1"/>
    <row r="166" s="439" customFormat="1"/>
    <row r="167" s="439" customFormat="1"/>
    <row r="168" s="439" customFormat="1"/>
    <row r="169" s="439" customFormat="1"/>
    <row r="170" s="439" customFormat="1"/>
    <row r="171" s="439" customFormat="1"/>
    <row r="172" s="439" customFormat="1"/>
    <row r="173" s="439" customFormat="1"/>
    <row r="174" s="439" customFormat="1"/>
    <row r="175" s="439" customFormat="1"/>
    <row r="176" s="439" customFormat="1"/>
    <row r="177" s="439" customFormat="1"/>
    <row r="178" s="439" customFormat="1"/>
    <row r="179" s="439" customFormat="1"/>
    <row r="180" s="439" customFormat="1"/>
    <row r="181" s="439" customFormat="1"/>
    <row r="182" s="439" customFormat="1"/>
    <row r="183" s="439" customFormat="1"/>
    <row r="184" s="439" customFormat="1"/>
    <row r="185" s="439" customFormat="1"/>
    <row r="186" s="439" customFormat="1"/>
    <row r="187" s="439" customFormat="1"/>
    <row r="188" s="439" customFormat="1"/>
    <row r="189" s="439" customFormat="1"/>
    <row r="190" s="439" customFormat="1"/>
    <row r="191" s="439" customFormat="1"/>
    <row r="192" s="439" customFormat="1"/>
    <row r="193" s="439" customFormat="1"/>
    <row r="194" s="439" customFormat="1"/>
    <row r="195" s="439" customFormat="1"/>
    <row r="196" s="439" customFormat="1"/>
    <row r="197" s="439" customFormat="1"/>
    <row r="198" s="439" customFormat="1"/>
    <row r="199" s="439" customFormat="1"/>
    <row r="200" s="439" customFormat="1"/>
    <row r="201" s="439" customFormat="1"/>
    <row r="202" s="439" customFormat="1"/>
    <row r="203" s="439" customFormat="1"/>
    <row r="204" s="439" customFormat="1"/>
    <row r="205" s="439" customFormat="1"/>
    <row r="206" s="439" customFormat="1"/>
    <row r="207" s="439" customFormat="1"/>
    <row r="208" s="439" customFormat="1"/>
    <row r="209" s="439" customFormat="1"/>
    <row r="210" s="439" customFormat="1"/>
    <row r="211" s="439" customFormat="1"/>
    <row r="212" s="439" customFormat="1"/>
    <row r="213" s="439" customFormat="1"/>
    <row r="214" s="439" customFormat="1"/>
    <row r="215" s="439" customFormat="1"/>
    <row r="216" s="439" customFormat="1"/>
    <row r="217" s="439" customFormat="1"/>
    <row r="218" s="439" customFormat="1"/>
    <row r="219" s="439" customFormat="1"/>
    <row r="220" s="439" customFormat="1"/>
    <row r="221" s="439" customFormat="1"/>
    <row r="222" s="439" customFormat="1"/>
    <row r="223" s="439" customFormat="1"/>
    <row r="224" s="439" customFormat="1"/>
    <row r="225" s="439" customFormat="1"/>
    <row r="226" s="439" customFormat="1"/>
    <row r="227" s="439" customFormat="1"/>
    <row r="228" s="439" customFormat="1"/>
    <row r="229" s="439" customFormat="1"/>
    <row r="230" s="439" customFormat="1"/>
    <row r="231" s="439" customFormat="1"/>
    <row r="232" s="439" customFormat="1"/>
    <row r="233" s="439" customFormat="1"/>
    <row r="234" s="439" customFormat="1"/>
    <row r="235" s="439" customFormat="1"/>
    <row r="236" s="439" customFormat="1"/>
    <row r="237" s="439" customFormat="1"/>
    <row r="238" s="439" customFormat="1"/>
    <row r="239" s="439" customFormat="1"/>
    <row r="240" s="439" customFormat="1"/>
    <row r="241" s="439" customFormat="1"/>
    <row r="242" s="439" customFormat="1"/>
    <row r="243" s="439" customFormat="1"/>
    <row r="244" s="439" customFormat="1"/>
    <row r="245" s="439" customFormat="1"/>
    <row r="246" s="439" customFormat="1"/>
    <row r="247" s="439" customFormat="1"/>
    <row r="248" s="439" customFormat="1"/>
    <row r="249" s="439" customFormat="1"/>
    <row r="250" s="439" customFormat="1"/>
    <row r="251" s="439" customFormat="1"/>
    <row r="252" s="439" customFormat="1"/>
    <row r="253" s="439" customFormat="1"/>
    <row r="254" s="439" customFormat="1"/>
    <row r="255" s="439" customFormat="1"/>
    <row r="256" s="439" customFormat="1"/>
    <row r="257" s="439" customFormat="1"/>
    <row r="258" s="439" customFormat="1"/>
    <row r="259" s="439" customFormat="1"/>
    <row r="260" s="439" customFormat="1"/>
    <row r="261" s="439" customFormat="1"/>
    <row r="262" s="439" customFormat="1"/>
    <row r="263" s="439" customFormat="1"/>
    <row r="264" s="439" customFormat="1"/>
    <row r="265" s="439" customFormat="1"/>
    <row r="266" s="439" customFormat="1"/>
    <row r="267" s="439" customFormat="1"/>
    <row r="268" s="439" customFormat="1"/>
    <row r="269" s="439" customFormat="1"/>
    <row r="270" s="439" customFormat="1"/>
    <row r="271" s="439" customFormat="1"/>
    <row r="272" s="439" customFormat="1"/>
    <row r="273" s="439" customFormat="1"/>
    <row r="274" s="439" customFormat="1"/>
    <row r="275" s="439" customFormat="1"/>
    <row r="276" s="439" customFormat="1"/>
    <row r="277" s="439" customFormat="1"/>
    <row r="278" s="439" customFormat="1"/>
    <row r="279" s="439" customFormat="1"/>
    <row r="280" s="439" customFormat="1"/>
    <row r="281" s="439" customFormat="1"/>
    <row r="282" s="439" customFormat="1"/>
    <row r="283" s="439" customFormat="1"/>
    <row r="284" s="439" customFormat="1"/>
    <row r="285" s="439" customFormat="1"/>
    <row r="286" s="439" customFormat="1"/>
    <row r="287" s="439" customFormat="1"/>
    <row r="288" s="439" customFormat="1"/>
    <row r="289" s="439" customFormat="1"/>
    <row r="290" s="439" customFormat="1"/>
    <row r="291" s="439" customFormat="1"/>
    <row r="292" s="439" customFormat="1"/>
    <row r="293" s="439" customFormat="1"/>
    <row r="294" s="439" customFormat="1"/>
    <row r="295" s="439" customFormat="1"/>
    <row r="296" s="439" customFormat="1"/>
    <row r="297" s="439" customFormat="1"/>
    <row r="298" s="439" customFormat="1"/>
    <row r="299" s="439" customFormat="1"/>
    <row r="300" s="439" customFormat="1"/>
    <row r="301" s="439" customFormat="1"/>
    <row r="302" s="439" customFormat="1"/>
    <row r="303" s="439" customFormat="1"/>
    <row r="304" s="439" customFormat="1"/>
    <row r="305" s="439" customFormat="1"/>
    <row r="306" s="439" customFormat="1"/>
    <row r="307" s="439" customFormat="1"/>
    <row r="308" s="439" customFormat="1"/>
    <row r="309" s="439" customFormat="1"/>
    <row r="310" s="439" customFormat="1"/>
    <row r="311" s="439" customFormat="1"/>
    <row r="312" s="439" customFormat="1"/>
    <row r="313" s="439" customFormat="1"/>
    <row r="314" s="439" customFormat="1"/>
    <row r="315" s="439" customFormat="1"/>
    <row r="316" s="439" customFormat="1"/>
    <row r="317" s="439" customFormat="1"/>
    <row r="318" s="439" customFormat="1"/>
    <row r="319" s="439" customFormat="1"/>
    <row r="320" s="439" customFormat="1"/>
    <row r="321" s="439" customFormat="1"/>
    <row r="322" s="439" customFormat="1"/>
    <row r="323" s="439" customFormat="1"/>
    <row r="324" s="439" customFormat="1"/>
    <row r="325" s="439" customFormat="1"/>
    <row r="326" s="439" customFormat="1"/>
    <row r="327" s="439" customFormat="1"/>
    <row r="328" s="439" customFormat="1"/>
    <row r="329" s="439" customFormat="1"/>
    <row r="330" s="439" customFormat="1"/>
    <row r="331" s="439" customFormat="1"/>
    <row r="332" s="439" customFormat="1"/>
    <row r="333" s="439" customFormat="1"/>
    <row r="334" s="439" customFormat="1"/>
    <row r="335" s="439" customFormat="1"/>
    <row r="336" s="439" customFormat="1"/>
    <row r="337" s="439" customFormat="1"/>
    <row r="338" s="439" customFormat="1"/>
    <row r="339" s="439" customFormat="1"/>
    <row r="340" s="439" customFormat="1"/>
    <row r="341" s="439" customFormat="1"/>
    <row r="342" s="439" customFormat="1"/>
    <row r="343" s="439" customFormat="1"/>
    <row r="344" s="439" customFormat="1"/>
    <row r="345" s="439" customFormat="1"/>
    <row r="346" s="439" customFormat="1"/>
    <row r="347" s="439" customFormat="1"/>
    <row r="348" s="439" customFormat="1"/>
    <row r="349" s="439" customFormat="1"/>
    <row r="350" s="439" customFormat="1"/>
    <row r="351" s="439" customFormat="1"/>
    <row r="352" s="439" customFormat="1"/>
    <row r="353" s="439" customFormat="1"/>
    <row r="354" s="439" customFormat="1"/>
    <row r="355" s="439" customFormat="1"/>
    <row r="356" s="439" customFormat="1"/>
    <row r="357" s="439" customFormat="1"/>
    <row r="358" s="439" customFormat="1"/>
    <row r="359" s="439" customFormat="1"/>
    <row r="360" s="439" customFormat="1"/>
    <row r="361" s="439" customFormat="1"/>
    <row r="362" s="439" customFormat="1"/>
    <row r="363" s="439" customFormat="1"/>
    <row r="364" s="439" customFormat="1"/>
    <row r="365" s="439" customFormat="1"/>
    <row r="366" s="439" customFormat="1"/>
    <row r="367" s="439" customFormat="1"/>
    <row r="368" s="439" customFormat="1"/>
    <row r="369" s="439" customFormat="1"/>
    <row r="370" s="439" customFormat="1"/>
    <row r="371" s="439" customFormat="1"/>
    <row r="372" s="439" customFormat="1"/>
    <row r="373" s="439" customFormat="1"/>
    <row r="374" s="439" customFormat="1"/>
    <row r="375" s="439" customFormat="1"/>
    <row r="376" s="439" customFormat="1"/>
    <row r="377" s="439" customFormat="1"/>
    <row r="378" s="439" customFormat="1"/>
    <row r="379" s="439" customFormat="1"/>
    <row r="380" s="439" customFormat="1"/>
    <row r="381" s="439" customFormat="1"/>
    <row r="382" s="439" customFormat="1"/>
    <row r="383" s="439" customFormat="1"/>
    <row r="384" s="439" customFormat="1"/>
    <row r="385" s="439" customFormat="1"/>
    <row r="386" s="439" customFormat="1"/>
    <row r="387" s="439" customFormat="1"/>
    <row r="388" s="439" customFormat="1"/>
    <row r="389" s="439" customFormat="1"/>
    <row r="390" s="439" customFormat="1"/>
    <row r="391" s="439" customFormat="1"/>
    <row r="392" s="439" customFormat="1"/>
    <row r="393" s="439" customFormat="1"/>
    <row r="394" s="439" customFormat="1"/>
    <row r="395" s="439" customFormat="1"/>
    <row r="396" s="439" customFormat="1"/>
    <row r="397" s="439" customFormat="1"/>
    <row r="398" s="439" customFormat="1"/>
    <row r="399" s="439" customFormat="1"/>
    <row r="400" s="439" customFormat="1"/>
    <row r="401" s="439" customFormat="1"/>
    <row r="402" s="439" customFormat="1"/>
    <row r="403" s="439" customFormat="1"/>
    <row r="404" s="439" customFormat="1"/>
    <row r="405" s="439" customFormat="1"/>
    <row r="406" s="439" customFormat="1"/>
    <row r="407" s="439" customFormat="1"/>
    <row r="408" s="439" customFormat="1"/>
    <row r="409" s="439" customFormat="1"/>
    <row r="410" s="439" customFormat="1"/>
    <row r="411" s="439" customFormat="1"/>
    <row r="412" s="439" customFormat="1"/>
    <row r="413" s="439" customFormat="1"/>
    <row r="414" s="439" customFormat="1"/>
    <row r="415" s="439" customFormat="1"/>
    <row r="416" s="439" customFormat="1"/>
    <row r="417" s="439" customFormat="1"/>
    <row r="418" s="439" customFormat="1"/>
    <row r="419" s="439" customFormat="1"/>
    <row r="420" s="439" customFormat="1"/>
    <row r="421" s="439" customFormat="1"/>
    <row r="422" s="439" customFormat="1"/>
    <row r="423" s="439" customFormat="1"/>
    <row r="424" s="439" customFormat="1"/>
    <row r="425" s="439" customFormat="1"/>
    <row r="426" s="439" customFormat="1"/>
    <row r="427" s="439" customFormat="1"/>
    <row r="428" s="439" customFormat="1"/>
    <row r="429" s="439" customFormat="1"/>
    <row r="430" s="439" customFormat="1"/>
    <row r="431" s="439" customFormat="1"/>
    <row r="432" s="439" customFormat="1"/>
    <row r="433" s="439" customFormat="1"/>
    <row r="434" s="439" customFormat="1"/>
    <row r="435" s="439" customFormat="1"/>
    <row r="436" s="439" customFormat="1"/>
    <row r="437" s="439" customFormat="1"/>
    <row r="438" s="439" customFormat="1"/>
    <row r="439" s="439" customFormat="1"/>
    <row r="440" s="439" customFormat="1"/>
    <row r="441" s="439" customFormat="1"/>
    <row r="442" s="439" customFormat="1"/>
    <row r="443" s="439" customFormat="1"/>
    <row r="444" s="439" customFormat="1"/>
    <row r="445" s="439" customFormat="1"/>
    <row r="446" s="439" customFormat="1"/>
    <row r="447" s="439" customFormat="1"/>
    <row r="448" s="439" customFormat="1"/>
    <row r="449" s="439" customFormat="1"/>
    <row r="450" s="439" customFormat="1"/>
    <row r="451" s="439" customFormat="1"/>
    <row r="452" s="439" customFormat="1"/>
    <row r="453" s="439" customFormat="1"/>
    <row r="454" s="439" customFormat="1"/>
    <row r="455" s="439" customFormat="1"/>
    <row r="456" s="439" customFormat="1"/>
    <row r="457" s="439" customFormat="1"/>
    <row r="458" s="439" customFormat="1"/>
    <row r="459" s="439" customFormat="1"/>
    <row r="460" s="439" customFormat="1"/>
    <row r="461" s="439" customFormat="1"/>
    <row r="462" s="439" customFormat="1"/>
    <row r="463" s="439" customFormat="1"/>
    <row r="464" s="439" customFormat="1"/>
    <row r="465" s="439" customFormat="1"/>
    <row r="466" s="439" customFormat="1"/>
    <row r="467" s="439" customFormat="1"/>
    <row r="468" s="439" customFormat="1"/>
    <row r="469" s="439" customFormat="1"/>
    <row r="470" s="439" customFormat="1"/>
    <row r="471" s="439" customFormat="1"/>
    <row r="472" s="439" customFormat="1"/>
    <row r="473" s="439" customFormat="1"/>
    <row r="474" s="439" customFormat="1"/>
    <row r="475" s="439" customFormat="1"/>
    <row r="476" s="439" customFormat="1"/>
    <row r="477" s="439" customFormat="1"/>
    <row r="478" s="439" customFormat="1"/>
    <row r="479" s="439" customFormat="1"/>
    <row r="480" s="439" customFormat="1"/>
    <row r="481" s="439" customFormat="1"/>
    <row r="482" s="439" customFormat="1"/>
    <row r="483" s="439" customFormat="1"/>
    <row r="484" s="439" customFormat="1"/>
    <row r="485" s="439" customFormat="1"/>
    <row r="486" s="439" customFormat="1"/>
    <row r="487" s="439" customFormat="1"/>
    <row r="488" s="439" customFormat="1"/>
    <row r="489" s="439" customFormat="1"/>
    <row r="490" s="439" customFormat="1"/>
    <row r="491" s="439" customFormat="1"/>
    <row r="492" s="439" customFormat="1"/>
    <row r="493" s="439" customFormat="1"/>
    <row r="494" s="439" customFormat="1"/>
    <row r="495" s="439" customFormat="1"/>
    <row r="496" s="439" customFormat="1"/>
    <row r="497" s="439" customFormat="1"/>
    <row r="498" s="439" customFormat="1"/>
    <row r="499" s="439" customFormat="1"/>
    <row r="500" s="439" customFormat="1"/>
    <row r="501" s="439" customFormat="1"/>
    <row r="502" s="439" customFormat="1"/>
    <row r="503" s="439" customFormat="1"/>
    <row r="504" s="439" customFormat="1"/>
    <row r="505" s="439" customFormat="1"/>
    <row r="506" s="439" customFormat="1"/>
    <row r="507" s="439" customFormat="1"/>
    <row r="508" s="439" customFormat="1"/>
    <row r="509" s="439" customFormat="1"/>
    <row r="510" s="439" customFormat="1"/>
    <row r="511" s="439" customFormat="1"/>
    <row r="512" s="439" customFormat="1"/>
    <row r="513" s="439" customFormat="1"/>
    <row r="514" s="439" customFormat="1"/>
    <row r="515" s="439" customFormat="1"/>
    <row r="516" s="439" customFormat="1"/>
    <row r="517" s="439" customFormat="1"/>
    <row r="518" s="439" customFormat="1"/>
    <row r="519" s="439" customFormat="1"/>
    <row r="520" s="439" customFormat="1"/>
    <row r="521" s="439" customFormat="1"/>
    <row r="522" s="439" customFormat="1"/>
    <row r="523" s="439" customFormat="1"/>
    <row r="524" s="439" customFormat="1"/>
    <row r="525" s="439" customFormat="1"/>
    <row r="526" s="439" customFormat="1"/>
    <row r="527" s="439" customFormat="1"/>
    <row r="528" s="439" customFormat="1"/>
    <row r="529" s="439" customFormat="1"/>
    <row r="530" s="439" customFormat="1"/>
    <row r="531" s="439" customFormat="1"/>
    <row r="532" s="439" customFormat="1"/>
    <row r="533" s="439" customFormat="1"/>
    <row r="534" s="439" customFormat="1"/>
    <row r="535" s="439" customFormat="1"/>
    <row r="536" s="439" customFormat="1"/>
    <row r="537" s="439" customFormat="1"/>
    <row r="538" s="439" customFormat="1"/>
    <row r="539" s="439" customFormat="1"/>
    <row r="540" s="439" customFormat="1"/>
    <row r="541" s="439" customFormat="1"/>
    <row r="542" s="439" customFormat="1"/>
    <row r="543" s="439" customFormat="1"/>
    <row r="544" s="439" customFormat="1"/>
    <row r="545" s="439" customFormat="1"/>
    <row r="546" s="439" customFormat="1"/>
    <row r="547" s="439" customFormat="1"/>
    <row r="548" s="439" customFormat="1"/>
    <row r="549" s="439" customFormat="1"/>
    <row r="550" s="439" customFormat="1"/>
    <row r="551" s="439" customFormat="1"/>
    <row r="552" s="439" customFormat="1"/>
    <row r="553" s="439" customFormat="1"/>
    <row r="554" s="439" customFormat="1"/>
    <row r="555" s="439" customFormat="1"/>
    <row r="556" s="439" customFormat="1"/>
    <row r="557" s="439" customFormat="1"/>
    <row r="558" s="439" customFormat="1"/>
    <row r="559" s="439" customFormat="1"/>
    <row r="560" s="439" customFormat="1"/>
    <row r="561" s="439" customFormat="1"/>
    <row r="562" s="439" customFormat="1"/>
    <row r="563" s="439" customFormat="1"/>
    <row r="564" s="439" customFormat="1"/>
    <row r="565" s="439" customFormat="1"/>
    <row r="566" s="439" customFormat="1"/>
    <row r="567" s="439" customFormat="1"/>
    <row r="568" s="439" customFormat="1"/>
    <row r="569" s="439" customFormat="1"/>
    <row r="570" s="439" customFormat="1"/>
    <row r="571" s="439" customFormat="1"/>
    <row r="572" s="439" customFormat="1"/>
    <row r="573" s="439" customFormat="1"/>
    <row r="574" s="439" customFormat="1"/>
    <row r="575" s="439" customFormat="1"/>
    <row r="576" s="439" customFormat="1"/>
    <row r="577" s="439" customFormat="1"/>
    <row r="578" s="439" customFormat="1"/>
    <row r="579" s="439" customFormat="1"/>
    <row r="580" s="439" customFormat="1"/>
    <row r="581" s="439" customFormat="1"/>
    <row r="582" s="439" customFormat="1"/>
    <row r="583" s="439" customFormat="1"/>
    <row r="584" s="439" customFormat="1"/>
    <row r="585" s="439" customFormat="1"/>
    <row r="586" s="439" customFormat="1"/>
    <row r="587" s="439" customFormat="1"/>
    <row r="588" s="439" customFormat="1"/>
    <row r="589" s="439" customFormat="1"/>
    <row r="590" s="439" customFormat="1"/>
    <row r="591" s="439" customFormat="1"/>
    <row r="592" s="439" customFormat="1"/>
    <row r="593" s="439" customFormat="1"/>
    <row r="594" s="439" customFormat="1"/>
    <row r="595" s="439" customFormat="1"/>
    <row r="596" s="439" customFormat="1"/>
    <row r="597" s="439" customFormat="1"/>
    <row r="598" s="439" customFormat="1"/>
    <row r="599" s="439" customFormat="1"/>
    <row r="600" s="439" customFormat="1"/>
    <row r="601" s="439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1">
    <tabColor theme="0"/>
    <pageSetUpPr fitToPage="1"/>
  </sheetPr>
  <dimension ref="A1:L59"/>
  <sheetViews>
    <sheetView topLeftCell="A4" zoomScaleNormal="100" workbookViewId="0">
      <selection activeCell="A41" sqref="A41:D50"/>
    </sheetView>
  </sheetViews>
  <sheetFormatPr defaultColWidth="8.85546875" defaultRowHeight="12"/>
  <cols>
    <col min="1" max="1" width="6.140625" style="349" customWidth="1"/>
    <col min="2" max="4" width="16.7109375" style="349" customWidth="1"/>
    <col min="5" max="7" width="17.7109375" style="349" customWidth="1"/>
    <col min="8" max="16384" width="8.85546875" style="349"/>
  </cols>
  <sheetData>
    <row r="1" spans="1:7" ht="15" customHeight="1">
      <c r="A1" s="1279"/>
      <c r="B1" s="1279"/>
      <c r="C1" s="1279"/>
      <c r="D1" s="1279"/>
      <c r="E1" s="1279"/>
      <c r="F1" s="1279"/>
      <c r="G1" s="1279"/>
    </row>
    <row r="2" spans="1:7" ht="26.45" customHeight="1">
      <c r="A2" s="1308" t="s">
        <v>3474</v>
      </c>
      <c r="B2" s="1308"/>
      <c r="C2" s="1308"/>
      <c r="D2" s="1308"/>
      <c r="E2" s="1308"/>
      <c r="F2" s="1308"/>
      <c r="G2" s="1308"/>
    </row>
    <row r="3" spans="1:7" ht="15" customHeight="1">
      <c r="A3" s="1299" t="s">
        <v>3475</v>
      </c>
      <c r="B3" s="1299"/>
      <c r="C3" s="1299"/>
      <c r="D3" s="1299"/>
      <c r="E3" s="1299"/>
      <c r="F3" s="1299"/>
      <c r="G3" s="1299"/>
    </row>
    <row r="4" spans="1:7" ht="15" customHeight="1">
      <c r="A4" s="1299" t="s">
        <v>3537</v>
      </c>
      <c r="B4" s="1299"/>
      <c r="C4" s="1299"/>
      <c r="D4" s="1299"/>
      <c r="E4" s="1299"/>
      <c r="F4" s="1299"/>
      <c r="G4" s="1299"/>
    </row>
    <row r="5" spans="1:7" ht="15" customHeight="1">
      <c r="A5" s="1309" t="s">
        <v>3476</v>
      </c>
      <c r="B5" s="1309"/>
      <c r="C5" s="1309"/>
      <c r="D5" s="1309"/>
      <c r="E5" s="1309"/>
      <c r="F5" s="1309"/>
      <c r="G5" s="1309"/>
    </row>
    <row r="6" spans="1:7" ht="15" customHeight="1" thickBot="1">
      <c r="A6" s="1309"/>
      <c r="B6" s="1309"/>
      <c r="C6" s="1309"/>
      <c r="D6" s="1309"/>
      <c r="E6" s="1309"/>
      <c r="F6" s="1309"/>
      <c r="G6" s="1309"/>
    </row>
    <row r="7" spans="1:7" ht="15" customHeight="1">
      <c r="A7" s="1303" t="s">
        <v>3733</v>
      </c>
      <c r="B7" s="1304"/>
      <c r="C7" s="1304"/>
      <c r="D7" s="1304"/>
      <c r="E7" s="721"/>
      <c r="F7" s="721"/>
      <c r="G7" s="1305"/>
    </row>
    <row r="8" spans="1:7" ht="18" customHeight="1">
      <c r="A8" s="1300" t="s">
        <v>148</v>
      </c>
      <c r="B8" s="1301"/>
      <c r="C8" s="1301"/>
      <c r="D8" s="1301"/>
      <c r="E8" s="1301"/>
      <c r="F8" s="1301"/>
      <c r="G8" s="1302"/>
    </row>
    <row r="9" spans="1:7" ht="15" customHeight="1">
      <c r="A9" s="1306" t="s">
        <v>3477</v>
      </c>
      <c r="B9" s="1281"/>
      <c r="C9" s="1281"/>
      <c r="D9" s="1281"/>
      <c r="E9" s="1281"/>
      <c r="F9" s="1281"/>
      <c r="G9" s="1307"/>
    </row>
    <row r="10" spans="1:7" ht="18" customHeight="1">
      <c r="A10" s="1296"/>
      <c r="B10" s="1297"/>
      <c r="C10" s="1297"/>
      <c r="D10" s="1297"/>
      <c r="E10" s="1297"/>
      <c r="F10" s="1297"/>
      <c r="G10" s="1298"/>
    </row>
    <row r="11" spans="1:7" ht="15" customHeight="1">
      <c r="A11" s="1306" t="s">
        <v>3478</v>
      </c>
      <c r="B11" s="1281"/>
      <c r="C11" s="1281"/>
      <c r="D11" s="1281"/>
      <c r="E11" s="1281"/>
      <c r="F11" s="1281"/>
      <c r="G11" s="1307"/>
    </row>
    <row r="12" spans="1:7" ht="18" customHeight="1">
      <c r="A12" s="1296"/>
      <c r="B12" s="1297"/>
      <c r="C12" s="1297"/>
      <c r="D12" s="1297"/>
      <c r="E12" s="1297"/>
      <c r="F12" s="1297"/>
      <c r="G12" s="1298"/>
    </row>
    <row r="13" spans="1:7" ht="5.0999999999999996" customHeight="1" thickBot="1">
      <c r="A13" s="1322"/>
      <c r="B13" s="1323"/>
      <c r="C13" s="1323"/>
      <c r="D13" s="1157"/>
      <c r="E13" s="1157"/>
      <c r="F13" s="1157"/>
      <c r="G13" s="1324"/>
    </row>
    <row r="14" spans="1:7" ht="5.0999999999999996" customHeight="1">
      <c r="A14" s="1280"/>
      <c r="B14" s="1280"/>
      <c r="C14" s="1280"/>
      <c r="D14" s="1280"/>
      <c r="E14" s="1280"/>
      <c r="F14" s="1280"/>
      <c r="G14" s="1280"/>
    </row>
    <row r="15" spans="1:7" ht="18" customHeight="1">
      <c r="A15" s="1317" t="s">
        <v>3538</v>
      </c>
      <c r="B15" s="1317"/>
      <c r="C15" s="528"/>
      <c r="D15" s="528"/>
      <c r="E15" s="528"/>
      <c r="F15" s="390">
        <f>+'DAP1'!F24</f>
        <v>2024</v>
      </c>
      <c r="G15" s="382" t="s">
        <v>3539</v>
      </c>
    </row>
    <row r="16" spans="1:7" ht="5.0999999999999996" customHeight="1" thickBot="1">
      <c r="A16" s="1292"/>
      <c r="B16" s="1292"/>
      <c r="C16" s="1293"/>
      <c r="D16" s="1293"/>
      <c r="E16" s="1293"/>
      <c r="F16" s="1293"/>
      <c r="G16" s="1293"/>
    </row>
    <row r="17" spans="1:11" ht="15" customHeight="1">
      <c r="A17" s="1303" t="s">
        <v>86</v>
      </c>
      <c r="B17" s="1304"/>
      <c r="C17" s="721"/>
      <c r="D17" s="721"/>
      <c r="E17" s="721"/>
      <c r="F17" s="1325" t="s">
        <v>85</v>
      </c>
      <c r="G17" s="1326"/>
    </row>
    <row r="18" spans="1:11" ht="18" customHeight="1">
      <c r="A18" s="1318" t="str">
        <f>+IF(ISBLANK('DAP2'!C45)," ",IF(EXACT(MID('DAP2'!C45,1,1)," ")," ",+MID('DAP2'!C45,1,+FIND(" ",'DAP2'!C45))))</f>
        <v xml:space="preserve"> </v>
      </c>
      <c r="B18" s="1319"/>
      <c r="C18" s="1312"/>
      <c r="D18" s="1313"/>
      <c r="E18" s="379"/>
      <c r="F18" s="1320" t="str">
        <f>+IF(ISBLANK('DAP2'!C45)," ",IF(EXACT(MID('DAP2'!C45,1,1)," ")," ",+MID('DAP2'!C45,+FIND(" ",'DAP2'!C45)+1,20)))</f>
        <v xml:space="preserve"> </v>
      </c>
      <c r="G18" s="1321"/>
    </row>
    <row r="19" spans="1:11" ht="15" customHeight="1">
      <c r="A19" s="1310" t="s">
        <v>131</v>
      </c>
      <c r="B19" s="1328"/>
      <c r="C19" s="1311"/>
      <c r="D19" s="1311"/>
      <c r="E19" s="1281" t="s">
        <v>3479</v>
      </c>
      <c r="F19" s="912"/>
      <c r="G19" s="1287"/>
    </row>
    <row r="20" spans="1:11" ht="18" customHeight="1">
      <c r="A20" s="1288" t="str">
        <f>+CONCATENATE('DAP2'!H45)</f>
        <v/>
      </c>
      <c r="B20" s="1289"/>
      <c r="C20" s="1327"/>
      <c r="D20" s="383"/>
      <c r="E20" s="1329" t="str">
        <f>+CONCATENATE(ZAKL_DATA!B16," ",ZAKL_DATA!B17,", ",ZAKL_DATA!B18)</f>
        <v xml:space="preserve"> , </v>
      </c>
      <c r="F20" s="1290"/>
      <c r="G20" s="1291"/>
    </row>
    <row r="21" spans="1:11" ht="15" customHeight="1">
      <c r="A21" s="1285"/>
      <c r="B21" s="1286"/>
      <c r="C21" s="912"/>
      <c r="D21" s="912"/>
      <c r="E21" s="912"/>
      <c r="F21" s="912"/>
      <c r="G21" s="1287"/>
    </row>
    <row r="22" spans="1:11" ht="18" customHeight="1">
      <c r="A22" s="1288"/>
      <c r="B22" s="1289"/>
      <c r="C22" s="1289"/>
      <c r="D22" s="1290"/>
      <c r="E22" s="1290"/>
      <c r="F22" s="1290"/>
      <c r="G22" s="1291"/>
    </row>
    <row r="23" spans="1:11" ht="15" customHeight="1">
      <c r="A23" s="1310"/>
      <c r="B23" s="1311"/>
      <c r="C23" s="1311"/>
      <c r="D23" s="1311"/>
      <c r="E23" s="1311"/>
      <c r="F23" s="1311"/>
      <c r="G23" s="391" t="s">
        <v>41</v>
      </c>
    </row>
    <row r="24" spans="1:11" ht="18" customHeight="1">
      <c r="A24" s="1288"/>
      <c r="B24" s="1289"/>
      <c r="C24" s="1312"/>
      <c r="D24" s="1312"/>
      <c r="E24" s="1313"/>
      <c r="F24" s="381"/>
      <c r="G24" s="389" t="str">
        <f>+CONCATENATE(ZAKL_DATA!B19)</f>
        <v/>
      </c>
    </row>
    <row r="25" spans="1:11" ht="9" customHeight="1" thickBot="1">
      <c r="A25" s="1314"/>
      <c r="B25" s="1315"/>
      <c r="C25" s="1315"/>
      <c r="D25" s="1315"/>
      <c r="E25" s="998"/>
      <c r="F25" s="998"/>
      <c r="G25" s="1316"/>
    </row>
    <row r="26" spans="1:11" ht="10.9" customHeight="1">
      <c r="A26" s="1279"/>
      <c r="B26" s="1279"/>
      <c r="C26" s="1279"/>
      <c r="D26" s="1279"/>
      <c r="E26" s="1279"/>
      <c r="F26" s="1279"/>
      <c r="G26" s="1279"/>
    </row>
    <row r="27" spans="1:11" ht="15" customHeight="1">
      <c r="A27" s="392" t="s">
        <v>3540</v>
      </c>
      <c r="B27" s="390">
        <f>+F15</f>
        <v>2024</v>
      </c>
      <c r="C27" s="384" t="s">
        <v>3543</v>
      </c>
      <c r="D27" s="1317" t="s">
        <v>3541</v>
      </c>
      <c r="E27" s="529"/>
      <c r="F27" s="529"/>
      <c r="G27" s="529"/>
    </row>
    <row r="28" spans="1:11" ht="15" customHeight="1" thickBot="1">
      <c r="A28" s="1292" t="s">
        <v>3542</v>
      </c>
      <c r="B28" s="1292"/>
      <c r="C28" s="1293"/>
      <c r="D28" s="1293"/>
      <c r="E28" s="1293"/>
      <c r="F28" s="1293"/>
      <c r="G28" s="1293"/>
      <c r="H28" s="350"/>
      <c r="I28" s="350"/>
      <c r="J28" s="350"/>
      <c r="K28" s="350"/>
    </row>
    <row r="29" spans="1:11" ht="25.9" customHeight="1">
      <c r="A29" s="351"/>
      <c r="B29" s="352" t="s">
        <v>86</v>
      </c>
      <c r="C29" s="352" t="s">
        <v>85</v>
      </c>
      <c r="D29" s="352" t="s">
        <v>131</v>
      </c>
      <c r="E29" s="380" t="s">
        <v>3381</v>
      </c>
      <c r="F29" s="380" t="s">
        <v>3382</v>
      </c>
      <c r="G29" s="353" t="s">
        <v>3544</v>
      </c>
      <c r="H29" s="354"/>
    </row>
    <row r="30" spans="1:11" ht="18" customHeight="1">
      <c r="A30" s="393">
        <v>1</v>
      </c>
      <c r="B30" s="385" t="str">
        <f>+IF(EXACT(MID('DAP3'!B17,1,1),"x")," ",(MID('DAP3'!B17,1,+FIND(" ",'DAP3'!B17))))</f>
        <v xml:space="preserve"> </v>
      </c>
      <c r="C30" s="355" t="str">
        <f>+IF(EXACT(MID('DAP3'!B17,1,1),"x")," ",(MID('DAP3'!B17,+FIND(" ",'DAP3'!B17)+1,20)))</f>
        <v xml:space="preserve"> </v>
      </c>
      <c r="D30" s="355" t="str">
        <f>+IF(EXACT(MID('DAP3'!C17,1,1),"X")," ",CONCATENATE('DAP3'!D17))</f>
        <v/>
      </c>
      <c r="E30" s="388"/>
      <c r="F30" s="388"/>
      <c r="G30" s="356"/>
    </row>
    <row r="31" spans="1:11" ht="18" customHeight="1">
      <c r="A31" s="393">
        <v>2</v>
      </c>
      <c r="B31" s="385" t="str">
        <f>+IF(EXACT(MID('DAP3'!B18,1,1),"x")," ",(MID('DAP3'!B18,1,+FIND(" ",'DAP3'!B18))))</f>
        <v xml:space="preserve"> </v>
      </c>
      <c r="C31" s="355" t="str">
        <f>+IF(EXACT(MID('DAP3'!B18,1,1),"x")," ",(MID('DAP3'!B18,+FIND(" ",'DAP3'!B18)+1,20)))</f>
        <v xml:space="preserve"> </v>
      </c>
      <c r="D31" s="355" t="str">
        <f>+IF(EXACT(MID('DAP3'!C18,1,1),"X")," ",CONCATENATE('DAP3'!D18))</f>
        <v/>
      </c>
      <c r="E31" s="388"/>
      <c r="F31" s="388"/>
      <c r="G31" s="356"/>
    </row>
    <row r="32" spans="1:11" ht="18" customHeight="1">
      <c r="A32" s="393">
        <v>3</v>
      </c>
      <c r="B32" s="385" t="str">
        <f>+IF(EXACT(MID('DAP3'!B19,1,1),"x")," ",(MID('DAP3'!B19,1,+FIND(" ",'DAP3'!B19))))</f>
        <v xml:space="preserve"> </v>
      </c>
      <c r="C32" s="355" t="str">
        <f>+IF(EXACT(MID('DAP3'!B19,1,1),"x")," ",(MID('DAP3'!B19,+FIND(" ",'DAP3'!B19)+1,20)))</f>
        <v xml:space="preserve"> </v>
      </c>
      <c r="D32" s="355" t="str">
        <f>+IF(EXACT(MID('DAP3'!C19,1,1),"X")," ",CONCATENATE('DAP3'!D19))</f>
        <v/>
      </c>
      <c r="E32" s="388"/>
      <c r="F32" s="388"/>
      <c r="G32" s="356"/>
    </row>
    <row r="33" spans="1:7" ht="18" customHeight="1">
      <c r="A33" s="393">
        <v>4</v>
      </c>
      <c r="B33" s="385" t="str">
        <f>+IF(EXACT(MID('DAP3'!B20,1,1),"x")," ",(MID('DAP3'!B20,1,+FIND(" ",'DAP3'!B20))))</f>
        <v xml:space="preserve"> </v>
      </c>
      <c r="C33" s="355" t="str">
        <f>+IF(EXACT(MID('DAP3'!B20,1,1),"x")," ",(MID('DAP3'!B20,+FIND(" ",'DAP3'!B20)+1,20)))</f>
        <v xml:space="preserve"> </v>
      </c>
      <c r="D33" s="355" t="str">
        <f>+IF(EXACT(MID('DAP3'!C20,1,1),"X")," ",CONCATENATE('DAP3'!D20))</f>
        <v/>
      </c>
      <c r="E33" s="388"/>
      <c r="F33" s="388"/>
      <c r="G33" s="356"/>
    </row>
    <row r="34" spans="1:7" ht="18" customHeight="1">
      <c r="A34" s="394" t="s">
        <v>3545</v>
      </c>
      <c r="B34" s="386"/>
      <c r="C34" s="357"/>
      <c r="D34" s="358"/>
      <c r="E34" s="358"/>
      <c r="F34" s="358"/>
      <c r="G34" s="356"/>
    </row>
    <row r="35" spans="1:7" ht="18" customHeight="1">
      <c r="A35" s="394" t="s">
        <v>3546</v>
      </c>
      <c r="B35" s="386"/>
      <c r="C35" s="357"/>
      <c r="D35" s="358"/>
      <c r="E35" s="358"/>
      <c r="F35" s="358"/>
      <c r="G35" s="356"/>
    </row>
    <row r="36" spans="1:7" ht="18" customHeight="1" thickBot="1">
      <c r="A36" s="1342" t="s">
        <v>3734</v>
      </c>
      <c r="B36" s="387"/>
      <c r="C36" s="359"/>
      <c r="D36" s="360"/>
      <c r="E36" s="360"/>
      <c r="F36" s="360"/>
      <c r="G36" s="361"/>
    </row>
    <row r="37" spans="1:7" ht="15" customHeight="1">
      <c r="A37" s="1279"/>
      <c r="B37" s="1279"/>
      <c r="C37" s="1279"/>
      <c r="D37" s="1279"/>
      <c r="E37" s="1279"/>
      <c r="F37" s="1279"/>
      <c r="G37" s="1279"/>
    </row>
    <row r="38" spans="1:7" ht="15" customHeight="1">
      <c r="A38" s="1294" t="s">
        <v>3480</v>
      </c>
      <c r="B38" s="1294"/>
      <c r="C38" s="1294"/>
      <c r="D38" s="1294"/>
      <c r="E38" s="1294"/>
      <c r="F38" s="1294"/>
      <c r="G38" s="1294"/>
    </row>
    <row r="39" spans="1:7" ht="15" customHeight="1">
      <c r="A39" s="1343" t="s">
        <v>3735</v>
      </c>
      <c r="B39" s="912"/>
      <c r="C39" s="1344"/>
      <c r="D39" s="1345"/>
      <c r="E39" s="362" t="s">
        <v>3481</v>
      </c>
      <c r="F39" s="1344"/>
      <c r="G39" s="1345"/>
    </row>
    <row r="40" spans="1:7" ht="15" customHeight="1">
      <c r="A40" s="1280"/>
      <c r="B40" s="1280"/>
      <c r="C40" s="1280"/>
      <c r="D40" s="1280"/>
      <c r="E40" s="1280"/>
      <c r="F40" s="1280"/>
      <c r="G40" s="1280"/>
    </row>
    <row r="41" spans="1:7" ht="15" customHeight="1">
      <c r="A41" s="1281"/>
      <c r="B41" s="1281"/>
      <c r="C41" s="1281"/>
      <c r="D41" s="1281"/>
      <c r="E41" s="362" t="s">
        <v>3547</v>
      </c>
      <c r="F41" s="1346"/>
      <c r="G41" s="1347"/>
    </row>
    <row r="42" spans="1:7" ht="15" customHeight="1">
      <c r="A42" s="502"/>
      <c r="B42" s="502"/>
      <c r="C42" s="502"/>
      <c r="D42" s="502"/>
      <c r="E42" s="1280"/>
      <c r="F42" s="1280"/>
      <c r="G42" s="1280"/>
    </row>
    <row r="43" spans="1:7" ht="15" customHeight="1">
      <c r="A43" s="502"/>
      <c r="B43" s="502"/>
      <c r="C43" s="502"/>
      <c r="D43" s="502"/>
      <c r="E43" s="362" t="s">
        <v>3482</v>
      </c>
      <c r="F43" s="1348">
        <f ca="1">TODAY()</f>
        <v>45629</v>
      </c>
      <c r="G43" s="1349"/>
    </row>
    <row r="44" spans="1:7" ht="15" customHeight="1">
      <c r="A44" s="502"/>
      <c r="B44" s="502"/>
      <c r="C44" s="502"/>
      <c r="D44" s="502"/>
      <c r="E44" s="362"/>
      <c r="F44" s="363"/>
      <c r="G44" s="363"/>
    </row>
    <row r="45" spans="1:7" ht="15" customHeight="1">
      <c r="A45" s="502"/>
      <c r="B45" s="502"/>
      <c r="C45" s="502"/>
      <c r="D45" s="502"/>
      <c r="E45" s="1350" t="s">
        <v>3483</v>
      </c>
      <c r="F45" s="1351"/>
      <c r="G45" s="1351"/>
    </row>
    <row r="46" spans="1:7" ht="15" customHeight="1">
      <c r="A46" s="502"/>
      <c r="B46" s="502"/>
      <c r="C46" s="502"/>
      <c r="D46" s="502"/>
      <c r="E46" s="1282"/>
      <c r="F46" s="1352"/>
      <c r="G46" s="1283"/>
    </row>
    <row r="47" spans="1:7" ht="15" customHeight="1">
      <c r="A47" s="502"/>
      <c r="B47" s="502"/>
      <c r="C47" s="502"/>
      <c r="D47" s="502"/>
      <c r="E47" s="1353"/>
      <c r="F47" s="1284"/>
      <c r="G47" s="1354"/>
    </row>
    <row r="48" spans="1:7" ht="12" customHeight="1">
      <c r="A48" s="502"/>
      <c r="B48" s="502"/>
      <c r="C48" s="502"/>
      <c r="D48" s="502"/>
      <c r="E48" s="1353"/>
      <c r="F48" s="1284"/>
      <c r="G48" s="1354"/>
    </row>
    <row r="49" spans="1:12" ht="12" customHeight="1">
      <c r="A49" s="502"/>
      <c r="B49" s="502"/>
      <c r="C49" s="502"/>
      <c r="D49" s="502"/>
      <c r="E49" s="1355"/>
      <c r="F49" s="1356"/>
      <c r="G49" s="1357"/>
    </row>
    <row r="50" spans="1:12" ht="12" customHeight="1">
      <c r="A50" s="502"/>
      <c r="B50" s="502"/>
      <c r="C50" s="502"/>
      <c r="D50" s="502"/>
      <c r="E50" s="1277"/>
      <c r="F50" s="1277"/>
      <c r="G50" s="1277"/>
    </row>
    <row r="51" spans="1:12" ht="60" customHeight="1">
      <c r="A51" s="1279"/>
      <c r="B51" s="1279"/>
      <c r="C51" s="1279"/>
      <c r="D51" s="1279"/>
      <c r="E51" s="1279"/>
      <c r="F51" s="1279"/>
      <c r="G51" s="1279"/>
    </row>
    <row r="52" spans="1:12">
      <c r="A52" s="1278" t="s">
        <v>3736</v>
      </c>
      <c r="B52" s="1278"/>
      <c r="C52" s="1278"/>
      <c r="D52" s="1278"/>
      <c r="E52" s="1278"/>
      <c r="F52" s="1278"/>
      <c r="G52" s="1278"/>
    </row>
    <row r="53" spans="1:12">
      <c r="A53" s="1279"/>
      <c r="B53" s="1279"/>
      <c r="C53" s="1279"/>
      <c r="D53" s="1279"/>
      <c r="E53" s="1279"/>
      <c r="F53" s="1279"/>
      <c r="G53" s="1279"/>
    </row>
    <row r="54" spans="1:12">
      <c r="A54" s="1358"/>
      <c r="B54" s="1358"/>
      <c r="C54" s="1358"/>
      <c r="D54" s="1358"/>
      <c r="E54" s="1358"/>
      <c r="F54" s="1358"/>
      <c r="G54" s="1358"/>
    </row>
    <row r="55" spans="1:12" ht="15.75">
      <c r="A55" s="1359" t="s">
        <v>3737</v>
      </c>
      <c r="B55" s="1359"/>
      <c r="C55" s="1359"/>
      <c r="D55" s="1359"/>
      <c r="E55" s="1359"/>
      <c r="F55" s="1359"/>
      <c r="G55" s="1359"/>
      <c r="H55" s="364"/>
      <c r="I55" s="364"/>
      <c r="J55" s="364"/>
      <c r="K55" s="364"/>
      <c r="L55" s="364"/>
    </row>
    <row r="56" spans="1:12" ht="66.75" customHeight="1">
      <c r="A56" s="1276" t="s">
        <v>3548</v>
      </c>
      <c r="B56" s="1276"/>
      <c r="C56" s="1276"/>
      <c r="D56" s="1276"/>
      <c r="E56" s="1276"/>
      <c r="F56" s="1276"/>
      <c r="G56" s="1276"/>
      <c r="H56" s="365"/>
      <c r="I56" s="365"/>
      <c r="J56" s="365"/>
      <c r="K56" s="365"/>
      <c r="L56" s="365"/>
    </row>
    <row r="57" spans="1:12">
      <c r="A57" s="1276"/>
      <c r="B57" s="1276"/>
      <c r="C57" s="1276"/>
      <c r="D57" s="1276"/>
      <c r="E57" s="1276"/>
      <c r="F57" s="1276"/>
      <c r="G57" s="1276"/>
    </row>
    <row r="58" spans="1:12">
      <c r="A58" s="1360" t="s">
        <v>3738</v>
      </c>
      <c r="B58" s="1361"/>
      <c r="C58" s="1361"/>
      <c r="D58" s="1361"/>
      <c r="E58" s="1361"/>
      <c r="F58" s="1361"/>
      <c r="G58" s="1361"/>
    </row>
    <row r="59" spans="1:12">
      <c r="A59" s="1361"/>
      <c r="B59" s="1361"/>
      <c r="C59" s="1361"/>
      <c r="D59" s="1361"/>
      <c r="E59" s="1361"/>
      <c r="F59" s="1361"/>
      <c r="G59" s="1361"/>
    </row>
  </sheetData>
  <sheetProtection algorithmName="SHA-512" hashValue="rixSAm0gcbIQ7LOVFJGBDVf/ttvy/IyBZBDyM/84tu3wi6ghrxzCknWOP7HUYW0Bu8Cl7/k8ahPGSrHo3bcBnw==" saltValue="ThOfn5c1EYaRDa8N/nF9Og==" spinCount="100000" sheet="1" objects="1" scenarios="1"/>
  <mergeCells count="52">
    <mergeCell ref="A57:G57"/>
    <mergeCell ref="A58:G59"/>
    <mergeCell ref="A39:B39"/>
    <mergeCell ref="A41:D50"/>
    <mergeCell ref="E46:G49"/>
    <mergeCell ref="E50:G50"/>
    <mergeCell ref="A51:G51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F43:G43"/>
    <mergeCell ref="A37:G37"/>
    <mergeCell ref="A38:G38"/>
    <mergeCell ref="C39:D39"/>
    <mergeCell ref="F39:G39"/>
    <mergeCell ref="A40:G40"/>
    <mergeCell ref="F41:G41"/>
    <mergeCell ref="E42:G42"/>
    <mergeCell ref="E45:G45"/>
    <mergeCell ref="A55:G55"/>
    <mergeCell ref="A56:G56"/>
    <mergeCell ref="A52:G52"/>
    <mergeCell ref="A53:G53"/>
    <mergeCell ref="A54:G54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2">
    <tabColor theme="0"/>
  </sheetPr>
  <dimension ref="A1:F43"/>
  <sheetViews>
    <sheetView workbookViewId="0">
      <selection activeCell="B10" sqref="B10"/>
    </sheetView>
  </sheetViews>
  <sheetFormatPr defaultColWidth="8.85546875" defaultRowHeight="15"/>
  <cols>
    <col min="1" max="1" width="9.5703125" style="366" customWidth="1"/>
    <col min="2" max="2" width="17.28515625" style="366" customWidth="1"/>
    <col min="3" max="3" width="17.85546875" style="366" customWidth="1"/>
    <col min="4" max="4" width="16.28515625" style="366" customWidth="1"/>
    <col min="5" max="5" width="21.5703125" style="366" customWidth="1"/>
    <col min="6" max="6" width="16.7109375" style="366" customWidth="1"/>
    <col min="7" max="16384" width="8.85546875" style="366"/>
  </cols>
  <sheetData>
    <row r="1" spans="1:6" ht="18" customHeight="1">
      <c r="A1" s="1333"/>
      <c r="B1" s="1333"/>
      <c r="C1" s="1333"/>
      <c r="D1" s="1333"/>
      <c r="E1" s="1333"/>
    </row>
    <row r="2" spans="1:6" ht="27.6" customHeight="1">
      <c r="A2" s="1308" t="s">
        <v>3485</v>
      </c>
      <c r="B2" s="1308"/>
      <c r="C2" s="1308"/>
      <c r="D2" s="1308"/>
      <c r="E2" s="1308"/>
      <c r="F2" s="367"/>
    </row>
    <row r="3" spans="1:6" ht="18" customHeight="1">
      <c r="A3" s="1333"/>
      <c r="B3" s="1333"/>
      <c r="C3" s="1333"/>
      <c r="D3" s="1333"/>
      <c r="E3" s="1333"/>
    </row>
    <row r="4" spans="1:6" ht="18" customHeight="1">
      <c r="A4" s="1333"/>
      <c r="B4" s="1333"/>
      <c r="C4" s="1333"/>
      <c r="D4" s="1333"/>
      <c r="E4" s="1333"/>
    </row>
    <row r="5" spans="1:6" ht="18" customHeight="1">
      <c r="A5" s="368" t="s">
        <v>3486</v>
      </c>
      <c r="B5" s="1295" t="str">
        <f>+CONCATENATE('DAP2'!C45)</f>
        <v/>
      </c>
      <c r="C5" s="1295"/>
      <c r="D5" s="368" t="s">
        <v>36</v>
      </c>
      <c r="E5" s="369" t="str">
        <f>+CONCATENATE('DAP2'!H45)</f>
        <v/>
      </c>
    </row>
    <row r="6" spans="1:6" ht="18" customHeight="1">
      <c r="A6" s="1280"/>
      <c r="B6" s="1280"/>
      <c r="C6" s="1280"/>
      <c r="D6" s="1280"/>
      <c r="E6" s="1280"/>
    </row>
    <row r="7" spans="1:6" ht="18" customHeight="1">
      <c r="A7" s="368" t="s">
        <v>3487</v>
      </c>
      <c r="B7" s="1295" t="str">
        <f>+CONCATENATE(ZAKL_DATA!B16," ",ZAKL_DATA!B17,", ",ZAKL_DATA!B18,", PSČ ",ZAKL_DATA!B19)</f>
        <v xml:space="preserve"> , , PSČ </v>
      </c>
      <c r="C7" s="1295"/>
      <c r="D7" s="1295"/>
      <c r="E7" s="1295"/>
    </row>
    <row r="8" spans="1:6" ht="18" customHeight="1">
      <c r="A8" s="368"/>
      <c r="B8" s="368"/>
      <c r="C8" s="368"/>
      <c r="D8" s="368"/>
      <c r="E8" s="368"/>
    </row>
    <row r="9" spans="1:6" ht="18" customHeight="1">
      <c r="A9" s="1330" t="s">
        <v>3726</v>
      </c>
      <c r="B9" s="1330"/>
      <c r="C9" s="1330"/>
      <c r="D9" s="1330"/>
      <c r="E9" s="1330"/>
    </row>
    <row r="10" spans="1:6" ht="18" customHeight="1">
      <c r="A10" s="362"/>
      <c r="B10" s="370" t="s">
        <v>85</v>
      </c>
      <c r="C10" s="370" t="s">
        <v>86</v>
      </c>
      <c r="D10" s="370" t="s">
        <v>131</v>
      </c>
      <c r="E10" s="371"/>
    </row>
    <row r="11" spans="1:6" ht="18" customHeight="1">
      <c r="A11" s="362" t="s">
        <v>119</v>
      </c>
      <c r="B11" s="372" t="str">
        <f>+Potvr_ZAM!C30</f>
        <v xml:space="preserve"> </v>
      </c>
      <c r="C11" s="372" t="str">
        <f>+Potvr_ZAM!B30</f>
        <v xml:space="preserve"> </v>
      </c>
      <c r="D11" s="372" t="str">
        <f>+CONCATENATE(Potvr_ZAM!D30)</f>
        <v/>
      </c>
      <c r="E11" s="373"/>
    </row>
    <row r="12" spans="1:6" ht="18" customHeight="1">
      <c r="A12" s="362" t="s">
        <v>120</v>
      </c>
      <c r="B12" s="372" t="str">
        <f>+Potvr_ZAM!C31</f>
        <v xml:space="preserve"> </v>
      </c>
      <c r="C12" s="372" t="str">
        <f>+Potvr_ZAM!B31</f>
        <v xml:space="preserve"> </v>
      </c>
      <c r="D12" s="372" t="str">
        <f>+CONCATENATE(Potvr_ZAM!D31)</f>
        <v/>
      </c>
      <c r="E12" s="373"/>
    </row>
    <row r="13" spans="1:6" ht="18" customHeight="1">
      <c r="A13" s="362" t="s">
        <v>121</v>
      </c>
      <c r="B13" s="372" t="str">
        <f>+Potvr_ZAM!C32</f>
        <v xml:space="preserve"> </v>
      </c>
      <c r="C13" s="372" t="str">
        <f>+Potvr_ZAM!B32</f>
        <v xml:space="preserve"> </v>
      </c>
      <c r="D13" s="372" t="str">
        <f>+CONCATENATE(Potvr_ZAM!D32)</f>
        <v/>
      </c>
      <c r="E13" s="373"/>
    </row>
    <row r="14" spans="1:6" ht="18" customHeight="1">
      <c r="A14" s="362" t="s">
        <v>251</v>
      </c>
      <c r="B14" s="372" t="str">
        <f>+Potvr_ZAM!C33</f>
        <v xml:space="preserve"> </v>
      </c>
      <c r="C14" s="372" t="str">
        <f>+Potvr_ZAM!B33</f>
        <v xml:space="preserve"> </v>
      </c>
      <c r="D14" s="372" t="str">
        <f>+CONCATENATE(Potvr_ZAM!D33)</f>
        <v/>
      </c>
      <c r="E14" s="373"/>
    </row>
    <row r="15" spans="1:6" ht="18" customHeight="1">
      <c r="A15" s="362" t="s">
        <v>91</v>
      </c>
      <c r="B15" s="372" t="str">
        <f>+CONCATENATE(Potvr_ZAM!C34)</f>
        <v/>
      </c>
      <c r="C15" s="372" t="str">
        <f>+CONCATENATE(Potvr_ZAM!B34)</f>
        <v/>
      </c>
      <c r="D15" s="372" t="str">
        <f>+CONCATENATE(Potvr_ZAM!D34)</f>
        <v/>
      </c>
      <c r="E15" s="373"/>
    </row>
    <row r="16" spans="1:6" ht="18" customHeight="1">
      <c r="A16" s="362" t="s">
        <v>250</v>
      </c>
      <c r="B16" s="372" t="str">
        <f>+CONCATENATE(Potvr_ZAM!C35)</f>
        <v/>
      </c>
      <c r="C16" s="372" t="str">
        <f>+CONCATENATE(Potvr_ZAM!B35)</f>
        <v/>
      </c>
      <c r="D16" s="372" t="str">
        <f>+CONCATENATE(Potvr_ZAM!D35)</f>
        <v/>
      </c>
      <c r="E16" s="373"/>
    </row>
    <row r="17" spans="1:5" ht="18" customHeight="1">
      <c r="A17" s="362" t="s">
        <v>249</v>
      </c>
      <c r="B17" s="372" t="str">
        <f>+CONCATENATE(Potvr_ZAM!C36)</f>
        <v/>
      </c>
      <c r="C17" s="372" t="str">
        <f>+CONCATENATE(Potvr_ZAM!B36)</f>
        <v/>
      </c>
      <c r="D17" s="372" t="str">
        <f>+CONCATENATE(Potvr_ZAM!D36)</f>
        <v/>
      </c>
      <c r="E17" s="373"/>
    </row>
    <row r="18" spans="1:5" ht="18" customHeight="1">
      <c r="A18" s="1280"/>
      <c r="B18" s="1280"/>
      <c r="C18" s="1280"/>
      <c r="D18" s="1280"/>
      <c r="E18" s="1280"/>
    </row>
    <row r="19" spans="1:5" ht="18" customHeight="1">
      <c r="A19" s="1280"/>
      <c r="B19" s="1280"/>
      <c r="C19" s="1280"/>
      <c r="D19" s="1280"/>
      <c r="E19" s="1280"/>
    </row>
    <row r="20" spans="1:5" ht="18" customHeight="1">
      <c r="A20" s="368" t="s">
        <v>3366</v>
      </c>
      <c r="B20" s="374">
        <f ca="1">TODAY()</f>
        <v>45629</v>
      </c>
      <c r="C20" s="1280"/>
      <c r="D20" s="1280"/>
      <c r="E20" s="1280"/>
    </row>
    <row r="21" spans="1:5" ht="18" customHeight="1">
      <c r="A21" s="1280"/>
      <c r="B21" s="1280"/>
      <c r="C21" s="1280"/>
      <c r="D21" s="1331"/>
      <c r="E21" s="1331"/>
    </row>
    <row r="22" spans="1:5" ht="18" customHeight="1">
      <c r="A22" s="1280"/>
      <c r="B22" s="1280"/>
      <c r="C22" s="1280"/>
      <c r="D22" s="1295"/>
      <c r="E22" s="1295"/>
    </row>
    <row r="23" spans="1:5" ht="18" customHeight="1">
      <c r="A23" s="1280"/>
      <c r="B23" s="1280"/>
      <c r="C23" s="1280"/>
      <c r="D23" s="1332" t="s">
        <v>3488</v>
      </c>
      <c r="E23" s="1332"/>
    </row>
    <row r="24" spans="1:5" ht="18" customHeight="1">
      <c r="A24" s="375"/>
      <c r="B24" s="375"/>
      <c r="C24" s="375"/>
      <c r="D24" s="375"/>
      <c r="E24" s="375"/>
    </row>
    <row r="25" spans="1:5">
      <c r="A25" s="375"/>
      <c r="B25" s="375"/>
      <c r="C25" s="375"/>
      <c r="D25" s="375"/>
      <c r="E25" s="375"/>
    </row>
    <row r="26" spans="1:5">
      <c r="A26" s="375"/>
      <c r="B26" s="375"/>
      <c r="C26" s="375"/>
      <c r="D26" s="375"/>
      <c r="E26" s="375"/>
    </row>
    <row r="27" spans="1:5">
      <c r="A27" s="375"/>
      <c r="B27" s="375"/>
      <c r="C27" s="375"/>
      <c r="D27" s="375"/>
      <c r="E27" s="375"/>
    </row>
    <row r="28" spans="1:5">
      <c r="A28" s="375"/>
      <c r="B28" s="375"/>
      <c r="C28" s="375"/>
      <c r="D28" s="375"/>
      <c r="E28" s="375"/>
    </row>
    <row r="29" spans="1:5">
      <c r="A29" s="375"/>
      <c r="B29" s="375"/>
      <c r="C29" s="375"/>
      <c r="D29" s="375"/>
      <c r="E29" s="375"/>
    </row>
    <row r="30" spans="1:5">
      <c r="A30" s="375"/>
      <c r="B30" s="375"/>
      <c r="C30" s="375"/>
      <c r="D30" s="375"/>
      <c r="E30" s="375"/>
    </row>
    <row r="31" spans="1:5">
      <c r="A31" s="375"/>
      <c r="B31" s="375"/>
      <c r="C31" s="375"/>
      <c r="D31" s="375"/>
      <c r="E31" s="375"/>
    </row>
    <row r="32" spans="1:5">
      <c r="A32" s="375"/>
      <c r="B32" s="375"/>
      <c r="C32" s="375"/>
      <c r="D32" s="375"/>
      <c r="E32" s="375"/>
    </row>
    <row r="33" spans="1:5">
      <c r="A33" s="375"/>
      <c r="B33" s="375"/>
      <c r="C33" s="375"/>
      <c r="D33" s="375"/>
      <c r="E33" s="375"/>
    </row>
    <row r="34" spans="1:5">
      <c r="A34" s="375"/>
      <c r="B34" s="375"/>
      <c r="C34" s="375"/>
      <c r="D34" s="375"/>
      <c r="E34" s="375"/>
    </row>
    <row r="35" spans="1:5">
      <c r="A35" s="375"/>
      <c r="B35" s="375"/>
      <c r="C35" s="375"/>
      <c r="D35" s="375"/>
      <c r="E35" s="375"/>
    </row>
    <row r="36" spans="1:5">
      <c r="A36" s="375"/>
      <c r="B36" s="375"/>
      <c r="C36" s="375"/>
      <c r="D36" s="375"/>
      <c r="E36" s="375"/>
    </row>
    <row r="37" spans="1:5">
      <c r="A37" s="375"/>
      <c r="B37" s="375"/>
      <c r="C37" s="375"/>
      <c r="D37" s="375"/>
      <c r="E37" s="375"/>
    </row>
    <row r="38" spans="1:5">
      <c r="A38" s="375"/>
      <c r="B38" s="375"/>
      <c r="C38" s="375"/>
      <c r="D38" s="375"/>
      <c r="E38" s="375"/>
    </row>
    <row r="39" spans="1:5">
      <c r="A39" s="375"/>
      <c r="B39" s="375"/>
      <c r="C39" s="375"/>
      <c r="D39" s="375"/>
      <c r="E39" s="375"/>
    </row>
    <row r="40" spans="1:5">
      <c r="A40" s="375"/>
      <c r="B40" s="375"/>
      <c r="C40" s="375"/>
      <c r="D40" s="375"/>
      <c r="E40" s="375"/>
    </row>
    <row r="41" spans="1:5">
      <c r="A41" s="375"/>
      <c r="B41" s="375"/>
      <c r="C41" s="375"/>
      <c r="D41" s="375"/>
      <c r="E41" s="375"/>
    </row>
    <row r="42" spans="1:5">
      <c r="A42" s="375"/>
      <c r="B42" s="375"/>
      <c r="C42" s="375"/>
      <c r="D42" s="375"/>
      <c r="E42" s="375"/>
    </row>
    <row r="43" spans="1:5">
      <c r="A43" s="375"/>
      <c r="B43" s="375"/>
      <c r="C43" s="375"/>
      <c r="D43" s="375"/>
      <c r="E43" s="375"/>
    </row>
  </sheetData>
  <sheetProtection algorithmName="SHA-512" hashValue="G5teWhVc0H9/wQjmaOxGIgJWGM6leMdh3KuFsSsXKMNcAORxeaO10wFqeLseXJvrU/6RCr5MQoQ317TYunA1Tw==" saltValue="I584AvINWIewNDPLt8ww8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 codeName="List23">
    <outlinePr summaryBelow="0" summaryRight="0"/>
    <pageSetUpPr autoPageBreaks="0"/>
  </sheetPr>
  <dimension ref="A1:AE321"/>
  <sheetViews>
    <sheetView showOutlineSymbols="0" workbookViewId="0">
      <selection activeCell="A4" sqref="A4"/>
    </sheetView>
  </sheetViews>
  <sheetFormatPr defaultColWidth="9.140625" defaultRowHeight="12.75"/>
  <cols>
    <col min="1" max="1" width="41.28515625" style="2" customWidth="1"/>
    <col min="2" max="2" width="47.140625" style="2" customWidth="1"/>
    <col min="3" max="3" width="13" style="20" customWidth="1"/>
    <col min="4" max="4" width="10.140625" style="20" bestFit="1" customWidth="1"/>
    <col min="5" max="5" width="10.140625" style="20" hidden="1" customWidth="1"/>
    <col min="6" max="31" width="9.140625" style="20"/>
    <col min="32" max="16384" width="9.140625" style="2"/>
  </cols>
  <sheetData>
    <row r="1" spans="1:9" ht="18" customHeight="1">
      <c r="A1" s="1338" t="s">
        <v>3727</v>
      </c>
      <c r="B1" s="577"/>
      <c r="C1" s="22"/>
      <c r="D1" s="22"/>
    </row>
    <row r="2" spans="1:9" ht="18" customHeight="1" thickBot="1">
      <c r="A2" s="1339"/>
      <c r="B2" s="1339"/>
      <c r="C2" s="22"/>
      <c r="D2" s="22"/>
    </row>
    <row r="3" spans="1:9" ht="18" customHeight="1">
      <c r="A3" s="452" t="s">
        <v>3641</v>
      </c>
      <c r="B3" s="455" t="str">
        <f>+CONCATENATE(ZAKL_DATA!B5," ",ZAKL_DATA!B4," ",ZAKL_DATA!B7)</f>
        <v xml:space="preserve">  </v>
      </c>
      <c r="D3" s="22"/>
      <c r="I3" s="456"/>
    </row>
    <row r="4" spans="1:9" ht="18" customHeight="1">
      <c r="A4" s="453" t="s">
        <v>3430</v>
      </c>
      <c r="B4" s="457">
        <f>+'DAP3'!D30</f>
        <v>0</v>
      </c>
      <c r="D4" s="22"/>
    </row>
    <row r="5" spans="1:9" s="20" customFormat="1" ht="18" customHeight="1">
      <c r="A5" s="453" t="s">
        <v>3642</v>
      </c>
      <c r="B5" s="458">
        <f>+B4</f>
        <v>0</v>
      </c>
      <c r="C5" s="22"/>
      <c r="D5" s="459"/>
    </row>
    <row r="6" spans="1:9" s="20" customFormat="1" ht="18" customHeight="1" thickBot="1">
      <c r="A6" s="454" t="s">
        <v>3659</v>
      </c>
      <c r="B6" s="460">
        <f>IF(EXACT((LEFT(+'DAP1'!J17,1)),A31),+DATE(+'DAP1'!F24+1,6,30),DATE('DAP1'!F24+1,3,31))+1</f>
        <v>45748</v>
      </c>
      <c r="C6" s="22"/>
      <c r="D6" s="461"/>
      <c r="E6" s="461">
        <f>+DATE('DAP1'!F24,12,31)</f>
        <v>45657</v>
      </c>
    </row>
    <row r="7" spans="1:9" s="20" customFormat="1" ht="24.75" customHeight="1">
      <c r="A7" s="1340" t="s">
        <v>3660</v>
      </c>
      <c r="B7" s="1340"/>
      <c r="C7" s="22"/>
      <c r="D7" s="461"/>
      <c r="E7" s="461"/>
    </row>
    <row r="8" spans="1:9" s="20" customFormat="1" ht="35.25" customHeight="1">
      <c r="A8" s="1341" t="s">
        <v>3661</v>
      </c>
      <c r="B8" s="1341"/>
      <c r="C8" s="22"/>
      <c r="D8" s="461"/>
      <c r="E8" s="461"/>
    </row>
    <row r="9" spans="1:9" s="20" customFormat="1" ht="24.95" customHeight="1">
      <c r="A9" s="1341" t="s">
        <v>3662</v>
      </c>
      <c r="B9" s="1341"/>
      <c r="C9" s="22"/>
      <c r="D9" s="461"/>
      <c r="E9" s="461"/>
    </row>
    <row r="10" spans="1:9" s="20" customFormat="1" ht="36.950000000000003" customHeight="1" thickBot="1">
      <c r="A10" s="1341" t="s">
        <v>3663</v>
      </c>
      <c r="B10" s="1341"/>
      <c r="C10" s="22"/>
      <c r="D10" s="461"/>
      <c r="E10" s="461"/>
    </row>
    <row r="11" spans="1:9" s="20" customFormat="1" ht="18" customHeight="1" thickBot="1">
      <c r="A11" s="462" t="s">
        <v>3664</v>
      </c>
      <c r="B11" s="463" t="s">
        <v>3665</v>
      </c>
      <c r="C11" s="22"/>
      <c r="D11" s="464"/>
      <c r="E11" s="464"/>
    </row>
    <row r="12" spans="1:9" s="20" customFormat="1" ht="18" customHeight="1">
      <c r="A12" s="465">
        <f>+B6</f>
        <v>45748</v>
      </c>
      <c r="B12" s="466">
        <f>+'DAP3'!D48</f>
        <v>0</v>
      </c>
      <c r="C12" s="22"/>
      <c r="D12" s="22"/>
    </row>
    <row r="13" spans="1:9" s="20" customFormat="1" ht="18" customHeight="1">
      <c r="A13" s="467" t="str">
        <f>CONCATENATE("15.",IF(OR(MONTH(A12)=4,MONTH(A12)=7),MONTH(A12)+2,MONTH(A12)+1),".",IF(MONTH(A12)&gt;9,YEAR(A12)+1,YEAR(A12)))</f>
        <v>15.6.2025</v>
      </c>
      <c r="B13" s="468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2"/>
      <c r="D13" s="22"/>
      <c r="E13" s="469"/>
    </row>
    <row r="14" spans="1:9" s="20" customFormat="1" ht="18" customHeight="1">
      <c r="A14" s="467" t="str">
        <f>CONCATENATE("15.",IF(MONTH(A13)&gt;9,MONTH(A13)-9,MONTH(A13)+3),".",IF(MONTH(A13)&gt;9,YEAR(A13)+1,YEAR(A13)))</f>
        <v>15.9.2025</v>
      </c>
      <c r="B14" s="468">
        <f>CEILING(+IF(MONTH(B6)=7,+IF($B$5&gt;150000,INT($B$5/4/100+0.99)*100,0)+IF($B$5&gt;30000,INT($B$5*0.4/100+0.99)*100,0)*IF($B$5&gt;150000,0,1),+IF($B$5&gt;150000,INT($B$5/4/100+0.99)*100,0))*A100,100)</f>
        <v>0</v>
      </c>
      <c r="C14" s="22"/>
      <c r="D14" s="22"/>
    </row>
    <row r="15" spans="1:9" s="20" customFormat="1" ht="18" customHeight="1">
      <c r="A15" s="467" t="str">
        <f>CONCATENATE("15.",IF(MONTH(A14)&gt;9,MONTH(A14)-9,MONTH(A14)+3),".",IF(MONTH(A14)&gt;9,YEAR(A14)+1,YEAR(A14)))</f>
        <v>15.12.2025</v>
      </c>
      <c r="B15" s="468">
        <f>+B13</f>
        <v>0</v>
      </c>
      <c r="C15" s="22"/>
      <c r="D15" s="22"/>
    </row>
    <row r="16" spans="1:9" s="20" customFormat="1" ht="18" customHeight="1">
      <c r="A16" s="470" t="str">
        <f>CONCATENATE("15.",IF(MONTH(A15)&gt;9,MONTH(A15)-9,MONTH(A15)+3),".",IF(MONTH(A15)&gt;9,YEAR(A15)+1,YEAR(A15)),)</f>
        <v>15.3.2026</v>
      </c>
      <c r="B16" s="468">
        <f>+B14</f>
        <v>0</v>
      </c>
      <c r="C16" s="22"/>
      <c r="D16" s="459"/>
    </row>
    <row r="17" spans="1:2" s="20" customFormat="1" ht="18" customHeight="1" thickBot="1">
      <c r="A17" s="471" t="str">
        <f>CONCATENATE("15.",IF(MONTH(A16)&gt;9,MONTH(A16)-9,MONTH(A16)+3),".",IF(MONTH(A16)&gt;9,YEAR(A16)+1,YEAR(A16)))</f>
        <v>15.6.2026</v>
      </c>
      <c r="B17" s="472">
        <f>+B15</f>
        <v>0</v>
      </c>
    </row>
    <row r="18" spans="1:2" s="20" customFormat="1" ht="39" customHeight="1">
      <c r="A18" s="1334" t="s">
        <v>3643</v>
      </c>
      <c r="B18" s="1335"/>
    </row>
    <row r="19" spans="1:2" s="20" customFormat="1" ht="51.95" customHeight="1">
      <c r="A19" s="1336" t="str">
        <f>+'DAP1'!A46:L46</f>
        <v>Formulář zpracovala ASPEKT HM, daňová, účetní a auditorská kancelář, www.danovapriznani.cz, business.center.cz</v>
      </c>
      <c r="B19" s="1337"/>
    </row>
    <row r="20" spans="1:2" s="20" customFormat="1">
      <c r="A20" s="1337"/>
      <c r="B20" s="1337"/>
    </row>
    <row r="21" spans="1:2" s="20" customFormat="1"/>
    <row r="22" spans="1:2" s="20" customFormat="1"/>
    <row r="23" spans="1:2" s="20" customFormat="1"/>
    <row r="24" spans="1:2" s="20" customFormat="1"/>
    <row r="25" spans="1:2" s="20" customFormat="1"/>
    <row r="26" spans="1:2" s="20" customFormat="1"/>
    <row r="27" spans="1:2" s="20" customFormat="1"/>
    <row r="28" spans="1:2" s="20" customFormat="1"/>
    <row r="29" spans="1:2" s="20" customFormat="1"/>
    <row r="30" spans="1:2" s="20" customFormat="1"/>
    <row r="31" spans="1:2" s="20" customFormat="1" hidden="1">
      <c r="A31" s="438" t="s">
        <v>210</v>
      </c>
    </row>
    <row r="32" spans="1:2" s="20" customFormat="1"/>
    <row r="33" s="20" customFormat="1"/>
    <row r="34" s="20" customFormat="1"/>
    <row r="35" s="20" customFormat="1"/>
    <row r="36" s="20" customFormat="1"/>
    <row r="37" s="20" customFormat="1"/>
    <row r="38" s="20" customFormat="1"/>
    <row r="39" s="20" customFormat="1"/>
    <row r="40" s="20" customFormat="1"/>
    <row r="41" s="20" customFormat="1"/>
    <row r="42" s="20" customFormat="1"/>
    <row r="43" s="20" customFormat="1"/>
    <row r="44" s="20" customFormat="1"/>
    <row r="45" s="20" customFormat="1"/>
    <row r="46" s="20" customFormat="1"/>
    <row r="47" s="20" customFormat="1"/>
    <row r="48" s="20" customFormat="1"/>
    <row r="49" s="20" customFormat="1"/>
    <row r="50" s="20" customFormat="1"/>
    <row r="51" s="20" customFormat="1"/>
    <row r="52" s="20" customFormat="1"/>
    <row r="53" s="20" customFormat="1"/>
    <row r="54" s="20" customFormat="1"/>
    <row r="55" s="20" customFormat="1"/>
    <row r="56" s="20" customFormat="1"/>
    <row r="57" s="20" customFormat="1"/>
    <row r="58" s="20" customFormat="1"/>
    <row r="59" s="20" customFormat="1"/>
    <row r="60" s="20" customFormat="1"/>
    <row r="61" s="20" customFormat="1"/>
    <row r="62" s="20" customFormat="1"/>
    <row r="63" s="20" customFormat="1"/>
    <row r="64" s="20" customFormat="1"/>
    <row r="65" s="20" customFormat="1"/>
    <row r="66" s="20" customFormat="1"/>
    <row r="67" s="20" customFormat="1"/>
    <row r="68" s="20" customFormat="1"/>
    <row r="69" s="20" customFormat="1"/>
    <row r="70" s="20" customFormat="1"/>
    <row r="71" s="20" customFormat="1"/>
    <row r="72" s="20" customFormat="1"/>
    <row r="73" s="20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pans="1:1" s="20" customFormat="1"/>
    <row r="98" spans="1:1" s="20" customFormat="1"/>
    <row r="99" spans="1:1" s="20" customFormat="1"/>
    <row r="100" spans="1:1" s="20" customFormat="1" hidden="1">
      <c r="A100" s="20">
        <f>+IF('DAP2'!E10&lt;0.5*'DAP2'!E16,+IF('DAP2'!E10/'DAP2'!E16&gt;0.15,0.5,1),0)</f>
        <v>0</v>
      </c>
    </row>
    <row r="101" spans="1:1" s="20" customFormat="1"/>
    <row r="102" spans="1:1" s="20" customFormat="1"/>
    <row r="103" spans="1:1" s="20" customFormat="1"/>
    <row r="104" spans="1:1" s="20" customFormat="1"/>
    <row r="105" spans="1:1" s="20" customFormat="1"/>
    <row r="106" spans="1:1" s="20" customFormat="1"/>
    <row r="107" spans="1:1" s="20" customFormat="1"/>
    <row r="108" spans="1:1" s="20" customFormat="1"/>
    <row r="109" spans="1:1" s="20" customFormat="1"/>
    <row r="110" spans="1:1" s="20" customFormat="1"/>
    <row r="111" spans="1:1" s="20" customFormat="1"/>
    <row r="112" spans="1:1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</sheetData>
  <sheetProtection algorithmName="SHA-512" hashValue="U1RFL5YYAERYiavr+CCNTODqP3wBsDLxqSM62XSUXA0qLz5aectMV+zwUN/OFEQ1DdtP9krOTtpFY/XHhMMPqw==" saltValue="Mz5EWuOXiFhxi13nR5EqXA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483" right="0.39370078740157483" top="0.82677165354330717" bottom="0.82677165354330717" header="0.31496062992125984" footer="0.31496062992125984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5EAC-8D22-4122-BB37-65390A26DD5A}">
  <sheetPr>
    <pageSetUpPr fitToPage="1"/>
  </sheetPr>
  <dimension ref="A1:AD174"/>
  <sheetViews>
    <sheetView tabSelected="1" zoomScaleNormal="100" workbookViewId="0">
      <selection activeCell="A9" sqref="A9:J9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37"/>
      <c r="B1" s="137"/>
      <c r="C1" s="137"/>
      <c r="D1" s="137"/>
      <c r="E1" s="137"/>
      <c r="F1" s="137"/>
      <c r="G1" s="137"/>
      <c r="H1" s="137"/>
      <c r="I1" s="137"/>
      <c r="J1" s="137"/>
      <c r="L1" s="490"/>
    </row>
    <row r="2" spans="1:1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L2" s="490"/>
    </row>
    <row r="3" spans="1:12" ht="12.7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L3" s="490"/>
    </row>
    <row r="4" spans="1:12">
      <c r="A4" s="137"/>
      <c r="B4" s="137"/>
      <c r="C4" s="137"/>
      <c r="D4" s="137"/>
      <c r="E4" s="137"/>
      <c r="F4" s="137"/>
      <c r="G4" s="137"/>
      <c r="H4" s="137"/>
      <c r="I4" s="137"/>
      <c r="J4" s="137"/>
      <c r="L4" s="166"/>
    </row>
    <row r="5" spans="1:12" ht="12.7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L5" s="484"/>
    </row>
    <row r="6" spans="1:12">
      <c r="A6" s="137"/>
      <c r="B6" s="137"/>
      <c r="C6" s="137"/>
      <c r="D6" s="137"/>
      <c r="E6" s="137"/>
      <c r="F6" s="137"/>
      <c r="G6" s="137"/>
      <c r="H6" s="137"/>
      <c r="I6" s="137"/>
      <c r="J6" s="137"/>
      <c r="L6" s="484"/>
    </row>
    <row r="7" spans="1:12" ht="60" customHeight="1">
      <c r="A7" s="491" t="s">
        <v>3658</v>
      </c>
      <c r="B7" s="491"/>
      <c r="C7" s="491"/>
      <c r="D7" s="491"/>
      <c r="E7" s="491"/>
      <c r="F7" s="491"/>
      <c r="G7" s="491"/>
      <c r="H7" s="491"/>
      <c r="I7" s="491"/>
      <c r="J7" s="491"/>
      <c r="L7" s="484"/>
    </row>
    <row r="8" spans="1:12" ht="15" customHeight="1">
      <c r="A8" s="492" t="s">
        <v>3696</v>
      </c>
      <c r="B8" s="492"/>
      <c r="C8" s="492"/>
      <c r="D8" s="492"/>
      <c r="E8" s="492"/>
      <c r="F8" s="492"/>
      <c r="G8" s="492"/>
      <c r="H8" s="492"/>
      <c r="I8" s="492"/>
      <c r="J8" s="492"/>
      <c r="L8" s="484"/>
    </row>
    <row r="9" spans="1:12" ht="15" customHeight="1">
      <c r="A9" s="493" t="s">
        <v>3728</v>
      </c>
      <c r="B9" s="493"/>
      <c r="C9" s="493"/>
      <c r="D9" s="493"/>
      <c r="E9" s="493"/>
      <c r="F9" s="493"/>
      <c r="G9" s="493"/>
      <c r="H9" s="493"/>
      <c r="I9" s="493"/>
      <c r="J9" s="493"/>
      <c r="L9" s="484"/>
    </row>
    <row r="10" spans="1:12" ht="45" customHeight="1">
      <c r="A10" s="494"/>
      <c r="B10" s="494"/>
      <c r="C10" s="494"/>
      <c r="D10" s="494"/>
      <c r="E10" s="494"/>
      <c r="F10" s="494"/>
      <c r="G10" s="494"/>
      <c r="H10" s="494"/>
      <c r="I10" s="494"/>
      <c r="J10" s="494"/>
      <c r="L10" s="484"/>
    </row>
    <row r="11" spans="1:12" ht="15">
      <c r="A11" s="495" t="s">
        <v>3572</v>
      </c>
      <c r="B11" s="496"/>
      <c r="C11" s="496"/>
      <c r="D11" s="496"/>
      <c r="E11" s="496"/>
      <c r="F11" s="496"/>
      <c r="G11" s="496"/>
      <c r="H11" s="496"/>
      <c r="I11" s="496"/>
      <c r="J11" s="496"/>
      <c r="L11" s="484"/>
    </row>
    <row r="12" spans="1:12" ht="30" customHeight="1">
      <c r="A12" s="497" t="s">
        <v>3573</v>
      </c>
      <c r="B12" s="497"/>
      <c r="C12" s="497"/>
      <c r="D12" s="497"/>
      <c r="E12" s="497"/>
      <c r="F12" s="497"/>
      <c r="G12" s="497"/>
      <c r="H12" s="497"/>
      <c r="I12" s="497"/>
      <c r="J12" s="497"/>
      <c r="L12" s="484"/>
    </row>
    <row r="13" spans="1:12" ht="30" customHeight="1">
      <c r="A13" s="497" t="s">
        <v>3574</v>
      </c>
      <c r="B13" s="497"/>
      <c r="C13" s="497"/>
      <c r="D13" s="497"/>
      <c r="E13" s="497"/>
      <c r="F13" s="497"/>
      <c r="G13" s="497"/>
      <c r="H13" s="497"/>
      <c r="I13" s="497"/>
      <c r="J13" s="497"/>
      <c r="L13" s="484"/>
    </row>
    <row r="14" spans="1:12" ht="45" customHeight="1">
      <c r="A14" s="497" t="s">
        <v>3575</v>
      </c>
      <c r="B14" s="497"/>
      <c r="C14" s="497"/>
      <c r="D14" s="497"/>
      <c r="E14" s="497"/>
      <c r="F14" s="497"/>
      <c r="G14" s="497"/>
      <c r="H14" s="497"/>
      <c r="I14" s="497"/>
      <c r="J14" s="497"/>
      <c r="L14" s="484"/>
    </row>
    <row r="15" spans="1:12" ht="30" customHeight="1">
      <c r="A15" s="497" t="s">
        <v>3576</v>
      </c>
      <c r="B15" s="497"/>
      <c r="C15" s="497"/>
      <c r="D15" s="497"/>
      <c r="E15" s="497"/>
      <c r="F15" s="497"/>
      <c r="G15" s="497"/>
      <c r="H15" s="497"/>
      <c r="I15" s="497"/>
      <c r="J15" s="497"/>
      <c r="L15" s="484"/>
    </row>
    <row r="16" spans="1:12" ht="30" customHeight="1">
      <c r="A16" s="497" t="s">
        <v>3577</v>
      </c>
      <c r="B16" s="497"/>
      <c r="C16" s="497"/>
      <c r="D16" s="497"/>
      <c r="E16" s="497"/>
      <c r="F16" s="497"/>
      <c r="G16" s="497"/>
      <c r="H16" s="497"/>
      <c r="I16" s="497"/>
      <c r="J16" s="497"/>
      <c r="L16" s="484"/>
    </row>
    <row r="17" spans="1:12" ht="45" customHeight="1">
      <c r="A17" s="495"/>
      <c r="B17" s="498"/>
      <c r="C17" s="498"/>
      <c r="D17" s="498"/>
      <c r="E17" s="498"/>
      <c r="F17" s="498"/>
      <c r="G17" s="498"/>
      <c r="H17" s="498"/>
      <c r="I17" s="498"/>
      <c r="J17" s="498"/>
      <c r="L17" s="484"/>
    </row>
    <row r="18" spans="1:12" ht="45" customHeight="1">
      <c r="A18" s="481" t="s">
        <v>3729</v>
      </c>
      <c r="B18" s="481"/>
      <c r="C18" s="481"/>
      <c r="D18" s="481"/>
      <c r="E18" s="481"/>
      <c r="F18" s="481"/>
      <c r="G18" s="481"/>
      <c r="H18" s="481"/>
      <c r="I18" s="481"/>
      <c r="J18" s="481"/>
      <c r="L18" s="413"/>
    </row>
    <row r="19" spans="1:12" ht="34.5" customHeight="1">
      <c r="A19" s="482" t="str">
        <f>HYPERLINK("http://business.center.cz/business/sablony/s3-priznani-k-dani-z-prijmu-fyzickych-osob.aspx")</f>
        <v>http://business.center.cz/business/sablony/s3-priznani-k-dani-z-prijmu-fyzickych-osob.aspx</v>
      </c>
      <c r="B19" s="483"/>
      <c r="C19" s="483"/>
      <c r="D19" s="483"/>
      <c r="E19" s="483"/>
      <c r="F19" s="483"/>
      <c r="G19" s="483"/>
      <c r="H19" s="483"/>
      <c r="I19" s="483"/>
      <c r="J19" s="483"/>
      <c r="L19" s="484"/>
    </row>
    <row r="20" spans="1:12" ht="45" customHeight="1">
      <c r="A20" s="485"/>
      <c r="B20" s="485"/>
      <c r="C20" s="485"/>
      <c r="D20" s="485"/>
      <c r="E20" s="485"/>
      <c r="F20" s="485"/>
      <c r="G20" s="485"/>
      <c r="H20" s="485"/>
      <c r="I20" s="485"/>
      <c r="J20" s="485"/>
      <c r="L20" s="484"/>
    </row>
    <row r="21" spans="1:12" ht="30" customHeight="1">
      <c r="A21" s="486" t="s">
        <v>3730</v>
      </c>
      <c r="B21" s="487"/>
      <c r="C21" s="487"/>
      <c r="D21" s="487"/>
      <c r="E21" s="487"/>
      <c r="F21" s="487"/>
      <c r="G21" s="487"/>
      <c r="H21" s="487"/>
      <c r="I21" s="487"/>
      <c r="J21" s="487"/>
      <c r="L21" s="484"/>
    </row>
    <row r="22" spans="1:12" ht="15" customHeight="1">
      <c r="A22" s="488" t="s">
        <v>3731</v>
      </c>
      <c r="B22" s="488"/>
      <c r="C22" s="488"/>
      <c r="D22" s="488"/>
      <c r="E22" s="488"/>
      <c r="F22" s="488"/>
      <c r="G22" s="488"/>
      <c r="H22" s="488"/>
      <c r="I22" s="488"/>
      <c r="J22" s="488"/>
      <c r="L22" s="484"/>
    </row>
    <row r="23" spans="1:12" ht="15" customHeight="1">
      <c r="A23" s="488" t="s">
        <v>3732</v>
      </c>
      <c r="B23" s="488"/>
      <c r="C23" s="488"/>
      <c r="D23" s="488"/>
      <c r="E23" s="488"/>
      <c r="F23" s="488"/>
      <c r="G23" s="488"/>
      <c r="H23" s="488"/>
      <c r="I23" s="488"/>
      <c r="J23" s="488"/>
      <c r="L23" s="484"/>
    </row>
    <row r="24" spans="1:12" ht="12.75" customHeight="1">
      <c r="A24" s="489"/>
      <c r="B24" s="489"/>
      <c r="C24" s="489"/>
      <c r="D24" s="489"/>
      <c r="E24" s="489"/>
      <c r="F24" s="489"/>
      <c r="G24" s="489"/>
      <c r="H24" s="489"/>
      <c r="I24" s="489"/>
      <c r="J24" s="489"/>
      <c r="L24" s="484"/>
    </row>
    <row r="25" spans="1:12" ht="12.75" customHeight="1">
      <c r="A25" s="489"/>
      <c r="B25" s="489"/>
      <c r="C25" s="489"/>
      <c r="D25" s="489"/>
      <c r="E25" s="489"/>
      <c r="F25" s="489"/>
      <c r="G25" s="489"/>
      <c r="H25" s="489"/>
      <c r="I25" s="489"/>
      <c r="J25" s="489"/>
      <c r="L25" s="484"/>
    </row>
    <row r="26" spans="1:12" ht="12.75" customHeight="1">
      <c r="A26" s="489" t="s">
        <v>200</v>
      </c>
      <c r="B26" s="489"/>
      <c r="C26" s="489"/>
      <c r="D26" s="489"/>
      <c r="E26" s="489"/>
      <c r="F26" s="489"/>
      <c r="G26" s="489"/>
      <c r="H26" s="489"/>
      <c r="I26" s="489"/>
      <c r="J26" s="489"/>
      <c r="L26" s="484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55">
        <v>1</v>
      </c>
    </row>
    <row r="98" spans="1:1" s="2" customFormat="1" hidden="1">
      <c r="A98" s="255" t="s">
        <v>275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kCXuAWrZfYJ8Jor5T9PBqk8fC5J+VA7mULnNYwqgPnBeSFFTyxaRRvoqBOtIOpXQ9uL5xAjZglI0sy2cActuJA==" saltValue="BhdRgkQegLPJnUyjt3FKa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39555-F56B-4D31-8F8C-74AC78D3F57D}">
  <sheetPr codeName="List13">
    <tabColor rgb="FFFFFFCC"/>
    <pageSetUpPr fitToPage="1"/>
  </sheetPr>
  <dimension ref="A1:AP242"/>
  <sheetViews>
    <sheetView workbookViewId="0">
      <selection sqref="A1:B1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499" t="s">
        <v>3444</v>
      </c>
      <c r="B1" s="500"/>
    </row>
    <row r="2" spans="1:2">
      <c r="A2" s="333"/>
      <c r="B2" s="333"/>
    </row>
    <row r="3" spans="1:2" ht="30">
      <c r="A3" s="334" t="s">
        <v>119</v>
      </c>
      <c r="B3" s="335" t="s">
        <v>3445</v>
      </c>
    </row>
    <row r="4" spans="1:2" ht="29.25">
      <c r="A4" s="334" t="s">
        <v>120</v>
      </c>
      <c r="B4" s="336" t="s">
        <v>3362</v>
      </c>
    </row>
    <row r="5" spans="1:2" ht="29.25">
      <c r="A5" s="334" t="s">
        <v>121</v>
      </c>
      <c r="B5" s="336" t="s">
        <v>3442</v>
      </c>
    </row>
    <row r="6" spans="1:2" ht="15">
      <c r="A6" s="334"/>
      <c r="B6" s="337" t="s">
        <v>3443</v>
      </c>
    </row>
    <row r="7" spans="1:2" s="326" customFormat="1" ht="15">
      <c r="A7" s="334"/>
      <c r="B7" s="337" t="s">
        <v>3446</v>
      </c>
    </row>
    <row r="8" spans="1:2" s="326" customFormat="1" ht="15">
      <c r="A8" s="334"/>
      <c r="B8" s="336" t="s">
        <v>3447</v>
      </c>
    </row>
    <row r="9" spans="1:2" s="326" customFormat="1" ht="29.25">
      <c r="A9" s="334"/>
      <c r="B9" s="336" t="s">
        <v>3448</v>
      </c>
    </row>
    <row r="10" spans="1:2" s="326" customFormat="1" ht="86.25">
      <c r="A10" s="334"/>
      <c r="B10" s="336" t="s">
        <v>3449</v>
      </c>
    </row>
    <row r="11" spans="1:2" s="326" customFormat="1" ht="29.25">
      <c r="A11" s="334" t="s">
        <v>251</v>
      </c>
      <c r="B11" s="339" t="s">
        <v>3450</v>
      </c>
    </row>
    <row r="12" spans="1:2" s="326" customFormat="1" ht="59.25">
      <c r="A12" s="334" t="s">
        <v>91</v>
      </c>
      <c r="B12" s="336" t="s">
        <v>3451</v>
      </c>
    </row>
    <row r="13" spans="1:2" s="326" customFormat="1" ht="15">
      <c r="A13" s="334" t="s">
        <v>250</v>
      </c>
      <c r="B13" s="336" t="s">
        <v>3677</v>
      </c>
    </row>
    <row r="14" spans="1:2" s="326" customFormat="1" ht="15.75">
      <c r="A14" s="334"/>
      <c r="B14" s="478" t="s">
        <v>3657</v>
      </c>
    </row>
    <row r="15" spans="1:2" s="326" customFormat="1" ht="73.5" customHeight="1">
      <c r="A15" s="334"/>
      <c r="B15" s="336" t="s">
        <v>3678</v>
      </c>
    </row>
    <row r="16" spans="1:2" s="326" customFormat="1" ht="85.5">
      <c r="A16" s="334"/>
      <c r="B16" s="336" t="s">
        <v>3681</v>
      </c>
    </row>
    <row r="17" spans="1:2" s="326" customFormat="1" ht="45" customHeight="1">
      <c r="A17" s="334" t="s">
        <v>249</v>
      </c>
      <c r="B17" s="336" t="s">
        <v>3679</v>
      </c>
    </row>
    <row r="18" spans="1:2" s="326" customFormat="1" ht="15" customHeight="1">
      <c r="A18" s="334"/>
      <c r="B18" s="338" t="s">
        <v>3363</v>
      </c>
    </row>
    <row r="19" spans="1:2" s="326" customFormat="1" ht="14.25">
      <c r="A19" s="334" t="s">
        <v>248</v>
      </c>
      <c r="B19" s="336" t="s">
        <v>3452</v>
      </c>
    </row>
    <row r="20" spans="1:2" s="326" customFormat="1" ht="14.25">
      <c r="A20" s="334"/>
      <c r="B20" s="336" t="s">
        <v>3680</v>
      </c>
    </row>
    <row r="21" spans="1:2" s="326" customFormat="1" ht="14.25">
      <c r="A21" s="334"/>
      <c r="B21" s="336" t="s">
        <v>3667</v>
      </c>
    </row>
    <row r="22" spans="1:2" s="326" customFormat="1">
      <c r="A22" s="333"/>
      <c r="B22" s="333"/>
    </row>
    <row r="23" spans="1:2" s="326" customFormat="1" ht="15.75">
      <c r="A23" s="333"/>
      <c r="B23" s="340" t="s">
        <v>3533</v>
      </c>
    </row>
    <row r="24" spans="1:2" s="326" customFormat="1" ht="14.25">
      <c r="A24" s="333"/>
      <c r="B24" s="341" t="s">
        <v>3364</v>
      </c>
    </row>
    <row r="25" spans="1:2" s="326" customFormat="1" ht="14.25">
      <c r="A25" s="333"/>
      <c r="B25" s="341" t="s">
        <v>3365</v>
      </c>
    </row>
    <row r="26" spans="1:2" s="326" customFormat="1"/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722622EC-51D7-4BAA-B13F-088C3DC9AD72}"/>
    <hyperlink ref="B14" r:id="rId2" xr:uid="{4FEF7A1B-2C4A-4D69-8E7A-BA5DE60CBD41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66FE8-4FD3-4DF9-A34C-6B018C77E65D}">
  <sheetPr codeName="List14">
    <tabColor rgb="FFFFFFCC"/>
    <pageSetUpPr fitToPage="1"/>
  </sheetPr>
  <dimension ref="A1:AP243"/>
  <sheetViews>
    <sheetView workbookViewId="0">
      <selection sqref="A1:B1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499" t="s">
        <v>3692</v>
      </c>
      <c r="B1" s="500"/>
    </row>
    <row r="2" spans="1:2">
      <c r="A2" s="333"/>
      <c r="B2" s="333"/>
    </row>
    <row r="3" spans="1:2" ht="28.5" customHeight="1">
      <c r="A3" s="334" t="s">
        <v>119</v>
      </c>
      <c r="B3" s="336" t="s">
        <v>3688</v>
      </c>
    </row>
    <row r="4" spans="1:2" ht="43.5">
      <c r="A4" s="334" t="s">
        <v>120</v>
      </c>
      <c r="B4" s="336" t="s">
        <v>3682</v>
      </c>
    </row>
    <row r="5" spans="1:2" ht="28.5">
      <c r="A5" s="334" t="s">
        <v>121</v>
      </c>
      <c r="B5" s="336" t="s">
        <v>3689</v>
      </c>
    </row>
    <row r="6" spans="1:2" ht="29.25">
      <c r="A6" s="334" t="s">
        <v>251</v>
      </c>
      <c r="B6" s="476" t="s">
        <v>3683</v>
      </c>
    </row>
    <row r="7" spans="1:2" s="326" customFormat="1" ht="43.5">
      <c r="A7" s="334" t="s">
        <v>91</v>
      </c>
      <c r="B7" s="476" t="s">
        <v>3684</v>
      </c>
    </row>
    <row r="8" spans="1:2" s="326" customFormat="1" ht="43.5">
      <c r="A8" s="334" t="s">
        <v>250</v>
      </c>
      <c r="B8" s="335" t="s">
        <v>3685</v>
      </c>
    </row>
    <row r="9" spans="1:2" s="326" customFormat="1" ht="30">
      <c r="A9" s="334" t="s">
        <v>249</v>
      </c>
      <c r="B9" s="335" t="s">
        <v>3690</v>
      </c>
    </row>
    <row r="10" spans="1:2" s="326" customFormat="1" ht="29.25">
      <c r="A10" s="334" t="s">
        <v>3686</v>
      </c>
      <c r="B10" s="336" t="s">
        <v>3691</v>
      </c>
    </row>
    <row r="11" spans="1:2" s="326" customFormat="1" ht="30">
      <c r="A11" s="334" t="s">
        <v>247</v>
      </c>
      <c r="B11" s="477" t="s">
        <v>3687</v>
      </c>
    </row>
    <row r="12" spans="1:2" s="326" customFormat="1" ht="15">
      <c r="A12" s="334"/>
      <c r="B12" s="477"/>
    </row>
    <row r="13" spans="1:2" s="326" customFormat="1" ht="14.25">
      <c r="A13" s="334"/>
      <c r="B13" s="336"/>
    </row>
    <row r="14" spans="1:2" s="326" customFormat="1" ht="14.25">
      <c r="A14" s="334"/>
      <c r="B14" s="336"/>
    </row>
    <row r="15" spans="1:2" s="326" customFormat="1" ht="15.75">
      <c r="A15" s="334"/>
      <c r="B15" s="340" t="s">
        <v>3533</v>
      </c>
    </row>
    <row r="16" spans="1:2" s="326" customFormat="1" ht="14.25">
      <c r="A16" s="334"/>
      <c r="B16" s="341" t="s">
        <v>3364</v>
      </c>
    </row>
    <row r="17" spans="1:2" s="326" customFormat="1" ht="14.25">
      <c r="A17" s="334"/>
      <c r="B17" s="341" t="s">
        <v>3365</v>
      </c>
    </row>
    <row r="18" spans="1:2" s="326" customFormat="1" ht="45" customHeight="1">
      <c r="A18" s="334"/>
      <c r="B18" s="336"/>
    </row>
    <row r="19" spans="1:2" s="326" customFormat="1" ht="45" customHeight="1">
      <c r="A19" s="334"/>
      <c r="B19" s="338"/>
    </row>
    <row r="20" spans="1:2" s="326" customFormat="1" ht="45" customHeight="1">
      <c r="A20" s="334"/>
      <c r="B20" s="336"/>
    </row>
    <row r="21" spans="1:2" s="326" customFormat="1" ht="45" customHeight="1">
      <c r="A21" s="334"/>
      <c r="B21" s="336"/>
    </row>
    <row r="22" spans="1:2" s="326" customFormat="1" ht="45" customHeight="1">
      <c r="A22" s="334"/>
      <c r="B22" s="336"/>
    </row>
    <row r="23" spans="1:2" s="326" customFormat="1" ht="45" customHeight="1">
      <c r="A23" s="333"/>
      <c r="B23" s="333"/>
    </row>
    <row r="24" spans="1:2" s="326" customFormat="1" ht="45" customHeight="1">
      <c r="A24" s="333"/>
      <c r="B24" s="340"/>
    </row>
    <row r="25" spans="1:2" s="326" customFormat="1" ht="45" customHeight="1">
      <c r="A25" s="333"/>
      <c r="B25" s="341"/>
    </row>
    <row r="26" spans="1:2" s="326" customFormat="1" ht="45" customHeight="1">
      <c r="A26" s="333"/>
      <c r="B26" s="341"/>
    </row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  <row r="243" s="326" customFormat="1"/>
  </sheetData>
  <sheetProtection algorithmName="SHA-512" hashValue="/1COhZAvCz3jXY5hM952z3dtRIST7ztJrzmVX8otxrB1CPO1GnwhU5zo+9Qky+U/8/idvn4kr7tSdU3HJCeP4Q==" saltValue="RcC4Ac8q0DkVo1lfYFQ65Q==" spinCount="100000" sheet="1" objects="1" scenarios="1"/>
  <mergeCells count="1">
    <mergeCell ref="A1:B1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2">
    <pageSetUpPr fitToPage="1"/>
  </sheetPr>
  <dimension ref="A1:AK217"/>
  <sheetViews>
    <sheetView workbookViewId="0">
      <selection activeCell="A29" sqref="A29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1"/>
  </cols>
  <sheetData>
    <row r="1" spans="1:37" s="104" customFormat="1" ht="18">
      <c r="A1" s="506" t="s">
        <v>262</v>
      </c>
      <c r="B1" s="507"/>
      <c r="C1" s="507"/>
      <c r="D1" s="507"/>
      <c r="E1" s="5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</row>
    <row r="2" spans="1:37" s="104" customFormat="1" ht="18">
      <c r="A2" s="250"/>
      <c r="B2" s="327" t="s">
        <v>3453</v>
      </c>
      <c r="C2" s="251"/>
      <c r="D2" s="254" t="s">
        <v>148</v>
      </c>
      <c r="E2" s="2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04" customFormat="1" ht="15.95" customHeight="1">
      <c r="A3" s="172"/>
      <c r="B3" s="173" t="s">
        <v>263</v>
      </c>
      <c r="C3" s="135"/>
      <c r="D3" s="173" t="s">
        <v>264</v>
      </c>
      <c r="E3" s="169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</row>
    <row r="4" spans="1:37" s="104" customFormat="1" ht="15.95" customHeight="1">
      <c r="A4" s="377" t="s">
        <v>3507</v>
      </c>
      <c r="B4" s="436"/>
      <c r="C4" s="175"/>
      <c r="D4" s="422"/>
      <c r="E4" s="376" t="s">
        <v>3504</v>
      </c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</row>
    <row r="5" spans="1:37" s="104" customFormat="1" ht="15.95" customHeight="1">
      <c r="A5" s="377" t="s">
        <v>3508</v>
      </c>
      <c r="B5" s="437"/>
      <c r="C5" s="176"/>
      <c r="D5" s="423"/>
      <c r="E5" s="135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</row>
    <row r="6" spans="1:37" s="104" customFormat="1" ht="15.95" customHeight="1">
      <c r="A6" s="377" t="s">
        <v>3518</v>
      </c>
      <c r="B6" s="185"/>
      <c r="C6" s="176"/>
      <c r="D6" s="423"/>
      <c r="E6" s="135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</row>
    <row r="7" spans="1:37" s="104" customFormat="1" ht="15.95" customHeight="1">
      <c r="A7" s="377" t="s">
        <v>3509</v>
      </c>
      <c r="B7" s="437"/>
      <c r="C7" s="176"/>
      <c r="D7" s="186"/>
      <c r="E7" s="376" t="s">
        <v>3505</v>
      </c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</row>
    <row r="8" spans="1:37" s="104" customFormat="1" ht="15.95" customHeight="1">
      <c r="A8" s="377" t="s">
        <v>3519</v>
      </c>
      <c r="B8" s="426"/>
      <c r="C8" s="176"/>
      <c r="D8" s="186"/>
      <c r="E8" s="135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</row>
    <row r="9" spans="1:37" s="104" customFormat="1" ht="15.95" customHeight="1">
      <c r="A9" s="377" t="s">
        <v>36</v>
      </c>
      <c r="B9" s="187"/>
      <c r="C9" s="176"/>
      <c r="D9" s="186"/>
      <c r="E9" s="135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</row>
    <row r="10" spans="1:37" s="104" customFormat="1" ht="15.95" customHeight="1">
      <c r="A10" s="377" t="s">
        <v>3506</v>
      </c>
      <c r="B10" s="187"/>
      <c r="C10" s="176"/>
      <c r="D10" s="188"/>
      <c r="E10" s="376" t="s">
        <v>3506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</row>
    <row r="11" spans="1:37" s="104" customFormat="1" ht="15.95" customHeight="1">
      <c r="A11" s="377" t="s">
        <v>3520</v>
      </c>
      <c r="B11" s="187"/>
      <c r="C11" s="176"/>
      <c r="D11" s="186"/>
      <c r="E11" s="135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</row>
    <row r="12" spans="1:37" s="104" customFormat="1" ht="15.95" customHeight="1">
      <c r="A12" s="174"/>
      <c r="B12" s="418" t="s">
        <v>3596</v>
      </c>
      <c r="C12" s="419"/>
      <c r="D12" s="420"/>
      <c r="E12" s="135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</row>
    <row r="13" spans="1:37" s="104" customFormat="1" ht="15.95" customHeight="1">
      <c r="A13" s="378" t="s">
        <v>3521</v>
      </c>
      <c r="B13" s="189"/>
      <c r="C13" s="424"/>
      <c r="D13" s="190"/>
      <c r="E13" s="177" t="s">
        <v>267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</row>
    <row r="14" spans="1:37" s="104" customFormat="1" ht="15.95" customHeight="1">
      <c r="A14" s="378" t="s">
        <v>3522</v>
      </c>
      <c r="B14" s="189"/>
      <c r="C14" s="176"/>
      <c r="D14" s="190"/>
      <c r="E14" s="376" t="s">
        <v>3507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</row>
    <row r="15" spans="1:37" s="104" customFormat="1" ht="15.95" customHeight="1">
      <c r="A15" s="178" t="s">
        <v>269</v>
      </c>
      <c r="B15" s="189"/>
      <c r="C15" s="176"/>
      <c r="D15" s="190"/>
      <c r="E15" s="376" t="s">
        <v>3508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</row>
    <row r="16" spans="1:37" s="104" customFormat="1" ht="15.95" customHeight="1">
      <c r="A16" s="377" t="s">
        <v>3523</v>
      </c>
      <c r="B16" s="189"/>
      <c r="C16" s="176"/>
      <c r="D16" s="190"/>
      <c r="E16" s="376" t="s">
        <v>3509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</row>
    <row r="17" spans="1:37" s="104" customFormat="1" ht="15.95" customHeight="1">
      <c r="A17" s="377" t="s">
        <v>3513</v>
      </c>
      <c r="B17" s="191"/>
      <c r="C17" s="176"/>
      <c r="D17" s="190"/>
      <c r="E17" s="376" t="s">
        <v>3510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</row>
    <row r="18" spans="1:37" s="104" customFormat="1" ht="15.95" customHeight="1">
      <c r="A18" s="377" t="s">
        <v>3514</v>
      </c>
      <c r="B18" s="189"/>
      <c r="C18" s="176"/>
      <c r="D18" s="190"/>
      <c r="E18" s="135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</row>
    <row r="19" spans="1:37" s="104" customFormat="1" ht="15.95" customHeight="1">
      <c r="A19" s="377" t="s">
        <v>3515</v>
      </c>
      <c r="B19" s="191"/>
      <c r="C19" s="424"/>
      <c r="D19" s="190"/>
      <c r="E19" s="177" t="s">
        <v>266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</row>
    <row r="20" spans="1:37" s="104" customFormat="1" ht="15.95" customHeight="1">
      <c r="A20" s="378" t="s">
        <v>3524</v>
      </c>
      <c r="B20" s="189"/>
      <c r="C20" s="176"/>
      <c r="D20" s="190"/>
      <c r="E20" s="376" t="s">
        <v>3507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</row>
    <row r="21" spans="1:37" s="104" customFormat="1" ht="15.95" customHeight="1">
      <c r="A21" s="377" t="s">
        <v>3525</v>
      </c>
      <c r="B21" s="189"/>
      <c r="C21" s="176"/>
      <c r="D21" s="190"/>
      <c r="E21" s="376" t="s">
        <v>3508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</row>
    <row r="22" spans="1:37" s="104" customFormat="1" ht="15.95" customHeight="1">
      <c r="A22" s="174"/>
      <c r="B22" s="189"/>
      <c r="C22" s="176"/>
      <c r="D22" s="190"/>
      <c r="E22" s="376" t="s">
        <v>3509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</row>
    <row r="23" spans="1:37" s="104" customFormat="1" ht="15.95" customHeight="1">
      <c r="A23" s="178" t="s">
        <v>3526</v>
      </c>
      <c r="B23" s="189"/>
      <c r="C23" s="176"/>
      <c r="D23" s="192"/>
      <c r="E23" s="376" t="s">
        <v>3511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</row>
    <row r="24" spans="1:37" s="104" customFormat="1" ht="15.95" customHeight="1">
      <c r="A24" s="174"/>
      <c r="B24" s="189"/>
      <c r="C24" s="176"/>
      <c r="D24" s="190"/>
      <c r="E24" s="376" t="s">
        <v>3512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</row>
    <row r="25" spans="1:37" s="104" customFormat="1" ht="15.95" customHeight="1">
      <c r="A25" s="377" t="s">
        <v>3511</v>
      </c>
      <c r="B25" s="193"/>
      <c r="C25" s="176"/>
      <c r="D25" s="194"/>
      <c r="E25" s="376" t="s">
        <v>3513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</row>
    <row r="26" spans="1:37" s="104" customFormat="1" ht="15.95" customHeight="1">
      <c r="A26" s="377" t="s">
        <v>3527</v>
      </c>
      <c r="B26" s="193"/>
      <c r="C26" s="176"/>
      <c r="D26" s="190"/>
      <c r="E26" s="376" t="s">
        <v>3514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</row>
    <row r="27" spans="1:37" s="104" customFormat="1" ht="15.95" customHeight="1">
      <c r="A27" s="377" t="s">
        <v>3517</v>
      </c>
      <c r="B27" s="425"/>
      <c r="C27" s="176"/>
      <c r="D27" s="195"/>
      <c r="E27" s="376" t="s">
        <v>3515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</row>
    <row r="28" spans="1:37" s="104" customFormat="1" ht="15.95" customHeight="1">
      <c r="A28" s="377" t="s">
        <v>3528</v>
      </c>
      <c r="B28" s="189"/>
      <c r="C28" s="176"/>
      <c r="D28" s="190"/>
      <c r="E28" s="135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</row>
    <row r="29" spans="1:37" s="104" customFormat="1" ht="15.95" customHeight="1">
      <c r="A29" s="378" t="s">
        <v>3529</v>
      </c>
      <c r="B29" s="421"/>
      <c r="C29" s="424"/>
      <c r="D29" s="190"/>
      <c r="E29" s="177" t="s">
        <v>268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</row>
    <row r="30" spans="1:37" s="104" customFormat="1" ht="15.95" customHeight="1">
      <c r="A30" s="325"/>
      <c r="B30" s="421"/>
      <c r="C30" s="176"/>
      <c r="D30" s="190"/>
      <c r="E30" s="376" t="s">
        <v>3507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</row>
    <row r="31" spans="1:37" s="104" customFormat="1" ht="15.95" customHeight="1">
      <c r="A31" s="178" t="s">
        <v>265</v>
      </c>
      <c r="B31" s="189"/>
      <c r="C31" s="176"/>
      <c r="D31" s="190"/>
      <c r="E31" s="376" t="s">
        <v>3508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</row>
    <row r="32" spans="1:37" s="104" customFormat="1" ht="15.95" customHeight="1">
      <c r="A32" s="377" t="s">
        <v>3530</v>
      </c>
      <c r="B32" s="191"/>
      <c r="C32" s="176"/>
      <c r="D32" s="190"/>
      <c r="E32" s="376" t="s">
        <v>3509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</row>
    <row r="33" spans="1:37" s="104" customFormat="1" ht="15.95" customHeight="1">
      <c r="A33" s="377" t="s">
        <v>3531</v>
      </c>
      <c r="B33" s="191"/>
      <c r="C33" s="176"/>
      <c r="D33" s="192"/>
      <c r="E33" s="376" t="s">
        <v>3511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s="104" customFormat="1" ht="15.95" customHeight="1">
      <c r="A34" s="377" t="s">
        <v>3532</v>
      </c>
      <c r="B34" s="189"/>
      <c r="C34" s="176"/>
      <c r="D34" s="192"/>
      <c r="E34" s="376" t="s">
        <v>3516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</row>
    <row r="35" spans="1:37" s="104" customFormat="1" ht="15.95" customHeight="1">
      <c r="A35" s="174"/>
      <c r="B35" s="189"/>
      <c r="C35" s="176"/>
      <c r="D35" s="260"/>
      <c r="E35" s="376" t="s">
        <v>3517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</row>
    <row r="36" spans="1:37" s="104" customFormat="1" ht="15.95" customHeight="1">
      <c r="A36" s="174"/>
      <c r="B36" s="196"/>
      <c r="C36" s="179"/>
      <c r="D36" s="197"/>
      <c r="E36" s="135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</row>
    <row r="37" spans="1:37" s="104" customFormat="1">
      <c r="A37" s="508" t="s">
        <v>3484</v>
      </c>
      <c r="B37" s="507"/>
      <c r="C37" s="507"/>
      <c r="D37" s="507"/>
      <c r="E37" s="5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</row>
    <row r="38" spans="1:37" s="104" customFormat="1">
      <c r="A38" s="180"/>
      <c r="B38" s="181" t="s">
        <v>271</v>
      </c>
      <c r="C38" s="135"/>
      <c r="D38" s="504" t="s">
        <v>273</v>
      </c>
      <c r="E38" s="505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1:37" s="104" customFormat="1">
      <c r="A39" s="182"/>
      <c r="B39" s="183" t="s">
        <v>270</v>
      </c>
      <c r="C39" s="135"/>
      <c r="D39" s="184" t="s">
        <v>0</v>
      </c>
      <c r="E39" s="13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</row>
    <row r="40" spans="1:37" s="104" customFormat="1">
      <c r="A40" s="198"/>
      <c r="B40" s="199" t="s">
        <v>272</v>
      </c>
      <c r="C40" s="135"/>
      <c r="D40" s="135"/>
      <c r="E40" s="13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7" s="104" customFormat="1">
      <c r="A41" s="503" t="s">
        <v>200</v>
      </c>
      <c r="B41" s="503"/>
      <c r="C41" s="503"/>
      <c r="D41" s="503"/>
      <c r="E41" s="170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3" spans="1:37" s="21" customFormat="1">
      <c r="A43" s="171"/>
    </row>
    <row r="44" spans="1:37" s="21" customFormat="1">
      <c r="A44" s="501"/>
      <c r="B44" s="502"/>
      <c r="C44" s="502"/>
      <c r="D44" s="502"/>
      <c r="E44" s="502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1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34" sqref="A34:L34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604" t="s">
        <v>253</v>
      </c>
      <c r="B1" s="604"/>
      <c r="C1" s="605"/>
      <c r="D1" s="605"/>
      <c r="E1" s="605"/>
      <c r="F1" s="605"/>
      <c r="G1" s="605"/>
      <c r="H1" s="605"/>
      <c r="I1" s="605"/>
      <c r="J1" s="605"/>
      <c r="K1" s="605"/>
      <c r="L1" s="605"/>
    </row>
    <row r="2" spans="1:12">
      <c r="A2" s="616" t="s">
        <v>141</v>
      </c>
      <c r="B2" s="616"/>
      <c r="C2" s="502"/>
      <c r="D2" s="502"/>
      <c r="E2" s="502"/>
      <c r="F2" s="502"/>
      <c r="G2" s="502"/>
      <c r="H2" s="502"/>
      <c r="I2" s="502"/>
      <c r="J2" s="502"/>
      <c r="K2" s="502"/>
      <c r="L2" s="502"/>
    </row>
    <row r="3" spans="1:12" ht="20.25" customHeight="1">
      <c r="A3" s="609">
        <f>+ZAKL_DATA!B13</f>
        <v>0</v>
      </c>
      <c r="B3" s="610"/>
      <c r="C3" s="611"/>
      <c r="D3" s="611"/>
      <c r="E3" s="611"/>
      <c r="F3" s="612"/>
      <c r="G3" s="617"/>
      <c r="H3" s="618"/>
      <c r="I3" s="618"/>
      <c r="J3" s="618"/>
      <c r="K3" s="618"/>
      <c r="L3" s="618"/>
    </row>
    <row r="4" spans="1:12">
      <c r="A4" s="616" t="s">
        <v>142</v>
      </c>
      <c r="B4" s="616"/>
      <c r="C4" s="502"/>
      <c r="D4" s="502"/>
      <c r="E4" s="502"/>
      <c r="F4" s="502"/>
      <c r="G4" s="502"/>
      <c r="H4" s="502"/>
      <c r="I4" s="502"/>
      <c r="J4" s="502"/>
      <c r="K4" s="502"/>
      <c r="L4" s="502"/>
    </row>
    <row r="5" spans="1:12" ht="20.25" customHeight="1">
      <c r="A5" s="609">
        <f>+ZAKL_DATA!B14</f>
        <v>0</v>
      </c>
      <c r="B5" s="610"/>
      <c r="C5" s="611"/>
      <c r="D5" s="611"/>
      <c r="E5" s="611"/>
      <c r="F5" s="612"/>
      <c r="G5" s="606"/>
      <c r="H5" s="622" t="s">
        <v>199</v>
      </c>
      <c r="I5" s="623"/>
      <c r="J5" s="623"/>
      <c r="K5" s="623"/>
      <c r="L5" s="624"/>
    </row>
    <row r="6" spans="1:12">
      <c r="A6" s="619" t="s">
        <v>137</v>
      </c>
      <c r="B6" s="619"/>
      <c r="C6" s="620"/>
      <c r="D6" s="620"/>
      <c r="E6" s="620"/>
      <c r="F6" s="620"/>
      <c r="G6" s="607"/>
      <c r="H6" s="625"/>
      <c r="I6" s="502"/>
      <c r="J6" s="502"/>
      <c r="K6" s="502"/>
      <c r="L6" s="607"/>
    </row>
    <row r="7" spans="1:12" ht="20.25" customHeight="1">
      <c r="A7" s="613" t="str">
        <f>IF(EXACT(LEFT(+ZAKL_DATA!D2,1),"C"),+ZAKL_DATA!D2," ")</f>
        <v>CZ</v>
      </c>
      <c r="B7" s="572"/>
      <c r="C7" s="614"/>
      <c r="D7" s="614"/>
      <c r="E7" s="614"/>
      <c r="F7" s="615"/>
      <c r="G7" s="607"/>
      <c r="H7" s="625"/>
      <c r="I7" s="502"/>
      <c r="J7" s="502"/>
      <c r="K7" s="502"/>
      <c r="L7" s="607"/>
    </row>
    <row r="8" spans="1:12">
      <c r="A8" s="621" t="s">
        <v>138</v>
      </c>
      <c r="B8" s="621"/>
      <c r="C8" s="620"/>
      <c r="D8" s="620"/>
      <c r="E8" s="620"/>
      <c r="F8" s="608"/>
      <c r="G8" s="502"/>
      <c r="H8" s="625"/>
      <c r="I8" s="502"/>
      <c r="J8" s="502"/>
      <c r="K8" s="502"/>
      <c r="L8" s="607"/>
    </row>
    <row r="9" spans="1:12" ht="20.25" customHeight="1">
      <c r="A9" s="571" t="str">
        <f>IF(EXACT(LEFT(+ZAKL_DATA!D2,1),"C"),+MID(A7,3,20),+ZAKL_DATA!D2)</f>
        <v/>
      </c>
      <c r="B9" s="572"/>
      <c r="C9" s="572"/>
      <c r="D9" s="572"/>
      <c r="E9" s="573"/>
      <c r="F9" s="502"/>
      <c r="G9" s="502"/>
      <c r="H9" s="625"/>
      <c r="I9" s="502"/>
      <c r="J9" s="502"/>
      <c r="K9" s="502"/>
      <c r="L9" s="607"/>
    </row>
    <row r="10" spans="1:12">
      <c r="A10" s="516"/>
      <c r="B10" s="516"/>
      <c r="C10" s="516"/>
      <c r="D10" s="516"/>
      <c r="E10" s="516"/>
      <c r="F10" s="502"/>
      <c r="G10" s="502"/>
      <c r="H10" s="626"/>
      <c r="I10" s="627"/>
      <c r="J10" s="627"/>
      <c r="K10" s="627"/>
      <c r="L10" s="628"/>
    </row>
    <row r="11" spans="1:12">
      <c r="A11" s="516" t="s">
        <v>192</v>
      </c>
      <c r="B11" s="516"/>
      <c r="C11" s="502"/>
      <c r="D11" s="502"/>
      <c r="E11" s="502"/>
      <c r="F11" s="502"/>
      <c r="G11" s="502"/>
      <c r="H11" s="502"/>
      <c r="I11" s="502"/>
      <c r="J11" s="502"/>
      <c r="K11" s="502"/>
      <c r="L11" s="502"/>
    </row>
    <row r="12" spans="1:12" ht="11.25" customHeight="1">
      <c r="A12" s="68" t="s">
        <v>139</v>
      </c>
      <c r="B12" s="66"/>
      <c r="C12" s="68" t="s">
        <v>208</v>
      </c>
      <c r="D12" s="9"/>
      <c r="E12" s="68" t="s">
        <v>209</v>
      </c>
      <c r="F12" s="67"/>
      <c r="G12" s="585" t="s">
        <v>193</v>
      </c>
      <c r="H12" s="586"/>
      <c r="I12" s="586"/>
      <c r="J12" s="586"/>
      <c r="K12" s="10"/>
      <c r="L12" s="67"/>
    </row>
    <row r="13" spans="1:12" ht="24" customHeight="1">
      <c r="A13" s="69" t="s">
        <v>210</v>
      </c>
      <c r="B13" s="66"/>
      <c r="C13" s="69"/>
      <c r="D13" s="66"/>
      <c r="E13" s="69"/>
      <c r="F13" s="67"/>
      <c r="G13" s="586"/>
      <c r="H13" s="586"/>
      <c r="I13" s="586"/>
      <c r="J13" s="586"/>
      <c r="K13" s="524"/>
      <c r="L13" s="525"/>
    </row>
    <row r="14" spans="1:12">
      <c r="A14" s="520" t="s">
        <v>186</v>
      </c>
      <c r="B14" s="502"/>
      <c r="C14" s="502"/>
      <c r="D14" s="502"/>
      <c r="E14" s="502"/>
      <c r="F14" s="523"/>
      <c r="G14" s="523"/>
      <c r="H14" s="523"/>
      <c r="I14" s="523"/>
      <c r="J14" s="523"/>
      <c r="K14" s="523"/>
      <c r="L14" s="523"/>
    </row>
    <row r="15" spans="1:12" ht="20.25" customHeight="1">
      <c r="A15" s="69"/>
      <c r="B15" s="517"/>
      <c r="C15" s="502"/>
      <c r="D15" s="502"/>
      <c r="E15" s="502"/>
      <c r="F15" s="521"/>
      <c r="G15" s="522"/>
      <c r="H15" s="522"/>
      <c r="I15" s="522"/>
      <c r="J15" s="121" t="s">
        <v>274</v>
      </c>
      <c r="K15" s="524"/>
      <c r="L15" s="525"/>
    </row>
    <row r="16" spans="1:12">
      <c r="A16" s="530"/>
      <c r="B16" s="531"/>
      <c r="C16" s="531"/>
      <c r="D16" s="531"/>
      <c r="E16" s="531"/>
      <c r="F16" s="522"/>
      <c r="G16" s="522"/>
      <c r="H16" s="522"/>
      <c r="I16" s="522"/>
      <c r="J16" s="70"/>
      <c r="K16" s="72"/>
      <c r="L16" s="71"/>
    </row>
    <row r="17" spans="1:12" ht="24" customHeight="1">
      <c r="A17" s="527" t="s">
        <v>3580</v>
      </c>
      <c r="B17" s="528"/>
      <c r="C17" s="528"/>
      <c r="D17" s="528"/>
      <c r="E17" s="528"/>
      <c r="F17" s="528"/>
      <c r="G17" s="528"/>
      <c r="H17" s="529"/>
      <c r="I17" s="118" t="s">
        <v>191</v>
      </c>
      <c r="J17" s="69"/>
      <c r="K17" s="117" t="s">
        <v>124</v>
      </c>
      <c r="L17" s="69" t="s">
        <v>210</v>
      </c>
    </row>
    <row r="18" spans="1:12" ht="9" customHeight="1">
      <c r="A18" s="526"/>
      <c r="B18" s="526"/>
      <c r="C18" s="523"/>
      <c r="D18" s="523"/>
      <c r="E18" s="523"/>
      <c r="F18" s="523"/>
      <c r="G18" s="523"/>
      <c r="H18" s="523"/>
      <c r="I18" s="523"/>
      <c r="J18" s="523"/>
      <c r="K18" s="523"/>
      <c r="L18" s="523"/>
    </row>
    <row r="19" spans="1:12" ht="24" customHeight="1">
      <c r="A19" s="527" t="s">
        <v>194</v>
      </c>
      <c r="B19" s="528"/>
      <c r="C19" s="528"/>
      <c r="D19" s="528"/>
      <c r="E19" s="528"/>
      <c r="F19" s="528"/>
      <c r="G19" s="528"/>
      <c r="H19" s="529"/>
      <c r="I19" s="118" t="s">
        <v>191</v>
      </c>
      <c r="J19" s="69"/>
      <c r="K19" s="117" t="s">
        <v>124</v>
      </c>
      <c r="L19" s="69" t="s">
        <v>210</v>
      </c>
    </row>
    <row r="20" spans="1:12" ht="20.100000000000001" customHeight="1">
      <c r="A20" s="526"/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</row>
    <row r="21" spans="1:12" ht="27.95" customHeight="1">
      <c r="A21" s="578" t="s">
        <v>92</v>
      </c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</row>
    <row r="22" spans="1:12" ht="18" customHeight="1">
      <c r="A22" s="579" t="s">
        <v>93</v>
      </c>
      <c r="B22" s="579"/>
      <c r="C22" s="522"/>
      <c r="D22" s="522"/>
      <c r="E22" s="522"/>
      <c r="F22" s="522"/>
      <c r="G22" s="522"/>
      <c r="H22" s="522"/>
      <c r="I22" s="522"/>
      <c r="J22" s="522"/>
      <c r="K22" s="502"/>
      <c r="L22" s="502"/>
    </row>
    <row r="23" spans="1:12" s="103" customFormat="1" ht="18" customHeight="1">
      <c r="A23" s="576" t="s">
        <v>3367</v>
      </c>
      <c r="B23" s="576"/>
      <c r="C23" s="577"/>
      <c r="D23" s="577"/>
      <c r="E23" s="577"/>
      <c r="F23" s="577"/>
      <c r="G23" s="577"/>
      <c r="H23" s="577"/>
      <c r="I23" s="577"/>
      <c r="J23" s="577"/>
      <c r="K23" s="577"/>
      <c r="L23" s="577"/>
    </row>
    <row r="24" spans="1:12" s="103" customFormat="1" ht="24" customHeight="1">
      <c r="A24" s="580" t="s">
        <v>212</v>
      </c>
      <c r="B24" s="581"/>
      <c r="C24" s="581"/>
      <c r="D24" s="581"/>
      <c r="E24" s="582"/>
      <c r="F24" s="518">
        <v>2024</v>
      </c>
      <c r="G24" s="519"/>
      <c r="H24" s="583" t="s">
        <v>160</v>
      </c>
      <c r="I24" s="584"/>
      <c r="J24" s="160"/>
      <c r="K24" s="159" t="s">
        <v>211</v>
      </c>
      <c r="L24" s="160"/>
    </row>
    <row r="25" spans="1:12" ht="18" customHeight="1">
      <c r="A25" s="526" t="s">
        <v>3368</v>
      </c>
      <c r="B25" s="526"/>
      <c r="C25" s="523"/>
      <c r="D25" s="523"/>
      <c r="E25" s="523"/>
      <c r="F25" s="523"/>
      <c r="G25" s="523"/>
      <c r="H25" s="523"/>
      <c r="I25" s="523"/>
      <c r="J25" s="523"/>
      <c r="K25" s="523"/>
      <c r="L25" s="523"/>
    </row>
    <row r="26" spans="1:12" ht="9.9499999999999993" customHeight="1">
      <c r="A26" s="526"/>
      <c r="B26" s="526"/>
      <c r="C26" s="523"/>
      <c r="D26" s="523"/>
      <c r="E26" s="523"/>
      <c r="F26" s="523"/>
      <c r="G26" s="523"/>
      <c r="H26" s="523"/>
      <c r="I26" s="523"/>
      <c r="J26" s="523"/>
      <c r="K26" s="523"/>
      <c r="L26" s="523"/>
    </row>
    <row r="27" spans="1:12" ht="15" customHeight="1" thickBot="1">
      <c r="A27" s="538" t="s">
        <v>123</v>
      </c>
      <c r="B27" s="538"/>
      <c r="C27" s="539"/>
      <c r="D27" s="539"/>
      <c r="E27" s="539"/>
      <c r="F27" s="539"/>
      <c r="G27" s="539"/>
      <c r="H27" s="539"/>
      <c r="I27" s="539"/>
      <c r="J27" s="539"/>
      <c r="K27" s="539"/>
      <c r="L27" s="539"/>
    </row>
    <row r="28" spans="1:12" ht="24" customHeight="1">
      <c r="A28" s="230" t="s">
        <v>1</v>
      </c>
      <c r="B28" s="587">
        <f>+ZAKL_DATA!B5</f>
        <v>0</v>
      </c>
      <c r="C28" s="588"/>
      <c r="D28" s="588"/>
      <c r="E28" s="589"/>
      <c r="F28" s="231" t="s">
        <v>3583</v>
      </c>
      <c r="G28" s="587">
        <f>+ZAKL_DATA!B6</f>
        <v>0</v>
      </c>
      <c r="H28" s="590"/>
      <c r="I28" s="232" t="s">
        <v>227</v>
      </c>
      <c r="J28" s="591">
        <f>+ZAKL_DATA!B4</f>
        <v>0</v>
      </c>
      <c r="K28" s="592"/>
      <c r="L28" s="593"/>
    </row>
    <row r="29" spans="1:12" ht="24" customHeight="1" thickBot="1">
      <c r="A29" s="233" t="s">
        <v>3584</v>
      </c>
      <c r="B29" s="601">
        <f>+ZAKL_DATA!B7</f>
        <v>0</v>
      </c>
      <c r="C29" s="602"/>
      <c r="D29" s="602"/>
      <c r="E29" s="513"/>
      <c r="F29" s="546" t="s">
        <v>2</v>
      </c>
      <c r="G29" s="547"/>
      <c r="H29" s="344">
        <f>+ZAKL_DATA!B20</f>
        <v>0</v>
      </c>
      <c r="I29" s="234" t="s">
        <v>3</v>
      </c>
      <c r="J29" s="598"/>
      <c r="K29" s="599"/>
      <c r="L29" s="600"/>
    </row>
    <row r="30" spans="1:12" ht="15" customHeight="1" thickBot="1">
      <c r="A30" s="603" t="s">
        <v>178</v>
      </c>
      <c r="B30" s="603"/>
      <c r="C30" s="558"/>
      <c r="D30" s="558"/>
      <c r="E30" s="558"/>
      <c r="F30" s="558"/>
      <c r="G30" s="558"/>
      <c r="H30" s="558"/>
      <c r="I30" s="558"/>
      <c r="J30" s="558"/>
      <c r="K30" s="558"/>
      <c r="L30" s="558"/>
    </row>
    <row r="31" spans="1:12" ht="24" customHeight="1">
      <c r="A31" s="230" t="s">
        <v>4</v>
      </c>
      <c r="B31" s="509">
        <f>+ZAKL_DATA!B18</f>
        <v>0</v>
      </c>
      <c r="C31" s="510"/>
      <c r="D31" s="510"/>
      <c r="E31" s="511"/>
      <c r="F31" s="235" t="s">
        <v>3369</v>
      </c>
      <c r="G31" s="509">
        <f>+ZAKL_DATA!B16</f>
        <v>0</v>
      </c>
      <c r="H31" s="596"/>
      <c r="I31" s="597"/>
      <c r="J31" s="594" t="s">
        <v>5</v>
      </c>
      <c r="K31" s="595"/>
      <c r="L31" s="13">
        <f>+ZAKL_DATA!B17</f>
        <v>0</v>
      </c>
    </row>
    <row r="32" spans="1:12" ht="24" customHeight="1" thickBot="1">
      <c r="A32" s="233" t="s">
        <v>161</v>
      </c>
      <c r="B32" s="512">
        <f>+ZAKL_DATA!B19</f>
        <v>0</v>
      </c>
      <c r="C32" s="513"/>
      <c r="D32" s="559" t="s">
        <v>3581</v>
      </c>
      <c r="E32" s="560"/>
      <c r="F32" s="244">
        <f>+ZAKL_DATA!B25</f>
        <v>0</v>
      </c>
      <c r="G32" s="236" t="s">
        <v>3582</v>
      </c>
      <c r="H32" s="567">
        <f>+ZAKL_DATA!B27</f>
        <v>0</v>
      </c>
      <c r="I32" s="568"/>
      <c r="J32" s="237" t="s">
        <v>162</v>
      </c>
      <c r="K32" s="532">
        <f>+ZAKL_DATA!B20</f>
        <v>0</v>
      </c>
      <c r="L32" s="533"/>
    </row>
    <row r="33" spans="1:14" ht="15" customHeight="1">
      <c r="A33" s="565" t="s">
        <v>3489</v>
      </c>
      <c r="B33" s="566"/>
      <c r="C33" s="566"/>
      <c r="D33" s="566"/>
      <c r="E33" s="566"/>
      <c r="F33" s="566"/>
      <c r="G33" s="566"/>
      <c r="H33" s="566"/>
      <c r="I33" s="566"/>
      <c r="J33" s="566"/>
      <c r="K33" s="542"/>
      <c r="L33" s="542"/>
    </row>
    <row r="34" spans="1:14" ht="15" customHeight="1" thickBot="1">
      <c r="A34" s="563" t="s">
        <v>98</v>
      </c>
      <c r="B34" s="564"/>
      <c r="C34" s="564"/>
      <c r="D34" s="564"/>
      <c r="E34" s="564"/>
      <c r="F34" s="564"/>
      <c r="G34" s="564"/>
      <c r="H34" s="564"/>
      <c r="I34" s="564"/>
      <c r="J34" s="564"/>
      <c r="K34" s="558"/>
      <c r="L34" s="558"/>
    </row>
    <row r="35" spans="1:14" ht="24" customHeight="1" thickBot="1">
      <c r="A35" s="238" t="s">
        <v>163</v>
      </c>
      <c r="B35" s="548"/>
      <c r="C35" s="549"/>
      <c r="D35" s="549"/>
      <c r="E35" s="550"/>
      <c r="F35" s="239" t="s">
        <v>97</v>
      </c>
      <c r="G35" s="514"/>
      <c r="H35" s="515"/>
      <c r="I35" s="240" t="s">
        <v>59</v>
      </c>
      <c r="J35" s="241"/>
      <c r="K35" s="242" t="s">
        <v>164</v>
      </c>
      <c r="L35" s="243"/>
      <c r="M35" s="122"/>
      <c r="N35" s="123"/>
    </row>
    <row r="36" spans="1:14" ht="15" customHeight="1">
      <c r="A36" s="554" t="s">
        <v>3502</v>
      </c>
      <c r="B36" s="555"/>
      <c r="C36" s="555"/>
      <c r="D36" s="555"/>
      <c r="E36" s="555"/>
      <c r="F36" s="555"/>
      <c r="G36" s="555"/>
      <c r="H36" s="555"/>
      <c r="I36" s="555"/>
      <c r="J36" s="555"/>
      <c r="K36" s="502"/>
      <c r="L36" s="502"/>
    </row>
    <row r="37" spans="1:14" ht="15" customHeight="1" thickBot="1">
      <c r="A37" s="556" t="s">
        <v>254</v>
      </c>
      <c r="B37" s="557"/>
      <c r="C37" s="557"/>
      <c r="D37" s="557"/>
      <c r="E37" s="557"/>
      <c r="F37" s="557"/>
      <c r="G37" s="557"/>
      <c r="H37" s="557"/>
      <c r="I37" s="557"/>
      <c r="J37" s="557"/>
      <c r="K37" s="558"/>
      <c r="L37" s="558"/>
    </row>
    <row r="38" spans="1:14" ht="24" customHeight="1">
      <c r="A38" s="11" t="s">
        <v>165</v>
      </c>
      <c r="B38" s="509"/>
      <c r="C38" s="510"/>
      <c r="D38" s="510"/>
      <c r="E38" s="511"/>
      <c r="F38" s="108" t="s">
        <v>3370</v>
      </c>
      <c r="G38" s="551"/>
      <c r="H38" s="552"/>
      <c r="I38" s="553"/>
      <c r="J38" s="561" t="s">
        <v>166</v>
      </c>
      <c r="K38" s="562"/>
      <c r="L38" s="13"/>
      <c r="M38" s="122"/>
      <c r="N38" s="123"/>
    </row>
    <row r="39" spans="1:14" ht="24" customHeight="1" thickBot="1">
      <c r="A39" s="12" t="s">
        <v>167</v>
      </c>
      <c r="B39" s="512"/>
      <c r="C39" s="513"/>
      <c r="D39" s="559" t="s">
        <v>3597</v>
      </c>
      <c r="E39" s="560"/>
      <c r="F39" s="537"/>
      <c r="G39" s="513"/>
      <c r="H39" s="236" t="s">
        <v>3598</v>
      </c>
      <c r="I39" s="534"/>
      <c r="J39" s="535"/>
      <c r="K39" s="535"/>
      <c r="L39" s="536"/>
      <c r="M39" s="122"/>
      <c r="N39" s="123"/>
    </row>
    <row r="40" spans="1:14" ht="12" customHeight="1">
      <c r="A40" s="541"/>
      <c r="B40" s="542"/>
      <c r="C40" s="542"/>
      <c r="D40" s="542"/>
      <c r="E40" s="542"/>
      <c r="F40" s="542"/>
      <c r="G40" s="542"/>
      <c r="H40" s="542"/>
      <c r="I40" s="542"/>
      <c r="J40" s="542"/>
      <c r="K40" s="542"/>
      <c r="L40" s="542"/>
    </row>
    <row r="41" spans="1:14" ht="24" customHeight="1">
      <c r="A41" s="543" t="s">
        <v>99</v>
      </c>
      <c r="B41" s="544"/>
      <c r="C41" s="544"/>
      <c r="D41" s="544"/>
      <c r="E41" s="545"/>
      <c r="F41" s="109"/>
      <c r="G41" s="110"/>
      <c r="H41" s="633" t="s">
        <v>50</v>
      </c>
      <c r="I41" s="634"/>
      <c r="J41" s="635"/>
      <c r="K41" s="631"/>
      <c r="L41" s="632"/>
    </row>
    <row r="42" spans="1:14" ht="12" customHeight="1">
      <c r="A42" s="575"/>
      <c r="B42" s="502"/>
      <c r="C42" s="502"/>
      <c r="D42" s="502"/>
      <c r="E42" s="502"/>
      <c r="F42" s="502"/>
      <c r="G42" s="502"/>
      <c r="H42" s="502"/>
      <c r="I42" s="502"/>
      <c r="J42" s="502"/>
      <c r="K42" s="502"/>
      <c r="L42" s="502"/>
    </row>
    <row r="43" spans="1:14" ht="24" customHeight="1">
      <c r="A43" s="574" t="s">
        <v>3454</v>
      </c>
      <c r="B43" s="529"/>
      <c r="C43" s="529"/>
      <c r="D43" s="529"/>
      <c r="E43" s="117" t="s">
        <v>191</v>
      </c>
      <c r="F43" s="69"/>
      <c r="G43" s="117" t="s">
        <v>124</v>
      </c>
      <c r="H43" s="69" t="s">
        <v>210</v>
      </c>
      <c r="I43" s="540"/>
      <c r="J43" s="502"/>
      <c r="K43" s="502"/>
      <c r="L43" s="502"/>
    </row>
    <row r="44" spans="1:14" ht="9" customHeight="1">
      <c r="A44" s="629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</row>
    <row r="45" spans="1:14" ht="9" customHeight="1">
      <c r="A45" s="630" t="s">
        <v>3697</v>
      </c>
      <c r="B45" s="630"/>
      <c r="C45" s="502"/>
      <c r="D45" s="502"/>
      <c r="E45" s="502"/>
      <c r="F45" s="502"/>
      <c r="G45" s="502"/>
      <c r="H45" s="502"/>
      <c r="I45" s="502"/>
      <c r="J45" s="502"/>
      <c r="K45" s="502"/>
      <c r="L45" s="502"/>
    </row>
    <row r="46" spans="1:14" ht="10.5" customHeight="1">
      <c r="A46" s="569" t="s">
        <v>200</v>
      </c>
      <c r="B46" s="570"/>
      <c r="C46" s="570"/>
      <c r="D46" s="570"/>
      <c r="E46" s="570"/>
      <c r="F46" s="570"/>
      <c r="G46" s="570"/>
      <c r="H46" s="570"/>
      <c r="I46" s="570"/>
      <c r="J46" s="570"/>
      <c r="K46" s="570"/>
      <c r="L46" s="570"/>
    </row>
    <row r="47" spans="1:14" ht="10.5" customHeight="1">
      <c r="A47" s="569">
        <f>+ZAKL_DATA!A44</f>
        <v>0</v>
      </c>
      <c r="B47" s="570"/>
      <c r="C47" s="570"/>
      <c r="D47" s="570"/>
      <c r="E47" s="570"/>
      <c r="F47" s="570"/>
      <c r="G47" s="570"/>
      <c r="H47" s="570"/>
      <c r="I47" s="570"/>
      <c r="J47" s="570"/>
      <c r="K47" s="570"/>
      <c r="L47" s="570"/>
    </row>
    <row r="48" spans="1:14" ht="10.5" customHeight="1">
      <c r="A48" s="526">
        <v>1</v>
      </c>
      <c r="B48" s="502"/>
      <c r="C48" s="502"/>
      <c r="D48" s="502"/>
      <c r="E48" s="502"/>
      <c r="F48" s="502"/>
      <c r="G48" s="502"/>
      <c r="H48" s="502"/>
      <c r="I48" s="502"/>
      <c r="J48" s="502"/>
      <c r="K48" s="502"/>
      <c r="L48" s="502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81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82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9">
        <v>1</v>
      </c>
    </row>
  </sheetData>
  <sheetProtection algorithmName="SHA-512" hashValue="rkWrOBxQNNKdR0Vj3biWdW29MXd7cfBtynlX+6W8YtwDgNWisiRvG2LMtru3vlmxi+Psh2Cu6csOpv6115sEQg==" saltValue="Mj/0W7/cNa1hwtcNLY2ueQ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H12" sqref="H12:J12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526" t="s">
        <v>173</v>
      </c>
      <c r="B1" s="523"/>
      <c r="C1" s="523"/>
      <c r="D1" s="523"/>
      <c r="E1" s="523"/>
      <c r="F1" s="523"/>
      <c r="G1" s="502"/>
      <c r="H1" s="502"/>
      <c r="I1" s="502"/>
      <c r="J1" s="502"/>
    </row>
    <row r="2" spans="1:18" ht="13.5" thickBot="1">
      <c r="A2" s="667" t="s">
        <v>3371</v>
      </c>
      <c r="B2" s="668"/>
      <c r="C2" s="668"/>
      <c r="D2" s="668"/>
      <c r="E2" s="668"/>
      <c r="F2" s="668"/>
      <c r="G2" s="669"/>
      <c r="H2" s="669"/>
      <c r="I2" s="669"/>
      <c r="J2" s="669"/>
    </row>
    <row r="3" spans="1:18" ht="12" customHeight="1">
      <c r="A3" s="678"/>
      <c r="B3" s="679"/>
      <c r="C3" s="679"/>
      <c r="D3" s="680"/>
      <c r="E3" s="681" t="s">
        <v>132</v>
      </c>
      <c r="F3" s="681"/>
      <c r="G3" s="681"/>
      <c r="H3" s="681" t="s">
        <v>140</v>
      </c>
      <c r="I3" s="681"/>
      <c r="J3" s="682"/>
      <c r="L3" s="398" t="s">
        <v>3557</v>
      </c>
      <c r="M3" s="399" t="s">
        <v>3558</v>
      </c>
      <c r="N3" s="400" t="s">
        <v>3559</v>
      </c>
      <c r="O3" s="401" t="s">
        <v>3560</v>
      </c>
      <c r="P3" s="401" t="s">
        <v>3561</v>
      </c>
      <c r="Q3" s="401" t="s">
        <v>3562</v>
      </c>
      <c r="R3" s="402" t="s">
        <v>3563</v>
      </c>
    </row>
    <row r="4" spans="1:18" ht="15.95" customHeight="1">
      <c r="A4" s="17">
        <v>31</v>
      </c>
      <c r="B4" s="662" t="s">
        <v>171</v>
      </c>
      <c r="C4" s="663"/>
      <c r="D4" s="664"/>
      <c r="E4" s="673">
        <f>+M4</f>
        <v>0</v>
      </c>
      <c r="F4" s="674"/>
      <c r="G4" s="658"/>
      <c r="H4" s="649"/>
      <c r="I4" s="650"/>
      <c r="J4" s="651"/>
      <c r="L4" s="403" t="s">
        <v>3564</v>
      </c>
      <c r="M4" s="404">
        <f>+ROUND(SUM(N4:R4)+0.49,0)</f>
        <v>0</v>
      </c>
      <c r="N4" s="405">
        <v>0</v>
      </c>
      <c r="O4" s="406">
        <v>0</v>
      </c>
      <c r="P4" s="406">
        <v>0</v>
      </c>
      <c r="Q4" s="406">
        <v>0</v>
      </c>
      <c r="R4" s="407">
        <v>0</v>
      </c>
    </row>
    <row r="5" spans="1:18" ht="15.95" customHeight="1">
      <c r="A5" s="17">
        <v>32</v>
      </c>
      <c r="B5" s="662" t="s">
        <v>145</v>
      </c>
      <c r="C5" s="663"/>
      <c r="D5" s="664"/>
      <c r="E5" s="670"/>
      <c r="F5" s="671"/>
      <c r="G5" s="672"/>
      <c r="H5" s="649"/>
      <c r="I5" s="650"/>
      <c r="J5" s="651"/>
      <c r="L5" s="403" t="s">
        <v>3565</v>
      </c>
      <c r="M5" s="404">
        <f>+ROUND(SUM(N5:R5)+0.49,0)</f>
        <v>0</v>
      </c>
      <c r="N5" s="405">
        <v>0</v>
      </c>
      <c r="O5" s="406">
        <v>0</v>
      </c>
      <c r="P5" s="406">
        <v>0</v>
      </c>
      <c r="Q5" s="406">
        <v>0</v>
      </c>
      <c r="R5" s="407">
        <v>0</v>
      </c>
    </row>
    <row r="6" spans="1:18" ht="15.95" customHeight="1">
      <c r="A6" s="17">
        <v>33</v>
      </c>
      <c r="B6" s="662" t="s">
        <v>60</v>
      </c>
      <c r="C6" s="665"/>
      <c r="D6" s="666"/>
      <c r="E6" s="673">
        <v>0</v>
      </c>
      <c r="F6" s="674"/>
      <c r="G6" s="658"/>
      <c r="H6" s="649"/>
      <c r="I6" s="650"/>
      <c r="J6" s="651"/>
      <c r="L6" s="403" t="s">
        <v>3566</v>
      </c>
      <c r="M6" s="404">
        <f>+ROUND(SUM(N6:R6)+0.49,0)</f>
        <v>0</v>
      </c>
      <c r="N6" s="405">
        <v>0</v>
      </c>
      <c r="O6" s="406">
        <v>0</v>
      </c>
      <c r="P6" s="406">
        <v>0</v>
      </c>
      <c r="Q6" s="406">
        <v>0</v>
      </c>
      <c r="R6" s="407">
        <v>0</v>
      </c>
    </row>
    <row r="7" spans="1:18" ht="15.95" customHeight="1" thickBot="1">
      <c r="A7" s="17">
        <v>34</v>
      </c>
      <c r="B7" s="662" t="s">
        <v>3599</v>
      </c>
      <c r="C7" s="663"/>
      <c r="D7" s="664"/>
      <c r="E7" s="670">
        <f>+E4-E6</f>
        <v>0</v>
      </c>
      <c r="F7" s="671"/>
      <c r="G7" s="672"/>
      <c r="H7" s="649"/>
      <c r="I7" s="650"/>
      <c r="J7" s="651"/>
      <c r="L7" s="408" t="s">
        <v>3567</v>
      </c>
      <c r="M7" s="409">
        <f>+ROUND(SUM(N7:R7)+0.49,0)</f>
        <v>0</v>
      </c>
      <c r="N7" s="410">
        <v>0</v>
      </c>
      <c r="O7" s="411">
        <v>0</v>
      </c>
      <c r="P7" s="411">
        <v>0</v>
      </c>
      <c r="Q7" s="411">
        <v>0</v>
      </c>
      <c r="R7" s="412">
        <v>0</v>
      </c>
    </row>
    <row r="8" spans="1:18" ht="15.95" customHeight="1" thickBot="1">
      <c r="A8" s="16">
        <v>35</v>
      </c>
      <c r="B8" s="659" t="s">
        <v>3600</v>
      </c>
      <c r="C8" s="660"/>
      <c r="D8" s="661"/>
      <c r="E8" s="683">
        <v>0</v>
      </c>
      <c r="F8" s="684"/>
      <c r="G8" s="685"/>
      <c r="H8" s="686"/>
      <c r="I8" s="687"/>
      <c r="J8" s="688"/>
    </row>
    <row r="9" spans="1:18" ht="12.75" customHeight="1" thickBot="1">
      <c r="A9" s="667" t="s">
        <v>51</v>
      </c>
      <c r="B9" s="668"/>
      <c r="C9" s="668"/>
      <c r="D9" s="668"/>
      <c r="E9" s="668"/>
      <c r="F9" s="668"/>
      <c r="G9" s="669"/>
      <c r="H9" s="669"/>
      <c r="I9" s="669"/>
      <c r="J9" s="669"/>
    </row>
    <row r="10" spans="1:18" ht="15.95" customHeight="1">
      <c r="A10" s="113">
        <v>36</v>
      </c>
      <c r="B10" s="675" t="s">
        <v>52</v>
      </c>
      <c r="C10" s="676"/>
      <c r="D10" s="677"/>
      <c r="E10" s="692">
        <f>+E7</f>
        <v>0</v>
      </c>
      <c r="F10" s="693"/>
      <c r="G10" s="694"/>
      <c r="H10" s="689"/>
      <c r="I10" s="690"/>
      <c r="J10" s="691"/>
    </row>
    <row r="11" spans="1:18" ht="24" customHeight="1">
      <c r="A11" s="17">
        <v>37</v>
      </c>
      <c r="B11" s="662" t="s">
        <v>3503</v>
      </c>
      <c r="C11" s="663"/>
      <c r="D11" s="664"/>
      <c r="E11" s="670">
        <f>+'1Př1'!F23</f>
        <v>0</v>
      </c>
      <c r="F11" s="671"/>
      <c r="G11" s="672"/>
      <c r="H11" s="649"/>
      <c r="I11" s="650"/>
      <c r="J11" s="651"/>
    </row>
    <row r="12" spans="1:18" ht="15.95" customHeight="1">
      <c r="A12" s="17">
        <v>38</v>
      </c>
      <c r="B12" s="662" t="s">
        <v>190</v>
      </c>
      <c r="C12" s="665"/>
      <c r="D12" s="666"/>
      <c r="E12" s="673">
        <f>+ZAV!C32</f>
        <v>0</v>
      </c>
      <c r="F12" s="674"/>
      <c r="G12" s="658"/>
      <c r="H12" s="649"/>
      <c r="I12" s="650"/>
      <c r="J12" s="651"/>
    </row>
    <row r="13" spans="1:18" ht="24" customHeight="1">
      <c r="A13" s="17">
        <v>39</v>
      </c>
      <c r="B13" s="662" t="s">
        <v>3372</v>
      </c>
      <c r="C13" s="663"/>
      <c r="D13" s="664"/>
      <c r="E13" s="670">
        <f>+'2Př'!G16</f>
        <v>0</v>
      </c>
      <c r="F13" s="671"/>
      <c r="G13" s="672"/>
      <c r="H13" s="649"/>
      <c r="I13" s="650"/>
      <c r="J13" s="651"/>
    </row>
    <row r="14" spans="1:18" ht="24" customHeight="1">
      <c r="A14" s="17">
        <v>40</v>
      </c>
      <c r="B14" s="662" t="s">
        <v>174</v>
      </c>
      <c r="C14" s="665"/>
      <c r="D14" s="666"/>
      <c r="E14" s="670">
        <f>+'2Př'!G35</f>
        <v>0</v>
      </c>
      <c r="F14" s="671"/>
      <c r="G14" s="672"/>
      <c r="H14" s="649"/>
      <c r="I14" s="650"/>
      <c r="J14" s="651"/>
    </row>
    <row r="15" spans="1:18" ht="15.95" customHeight="1">
      <c r="A15" s="17">
        <v>41</v>
      </c>
      <c r="B15" s="662" t="s">
        <v>106</v>
      </c>
      <c r="C15" s="663"/>
      <c r="D15" s="664"/>
      <c r="E15" s="670">
        <f>SUM(E11:E14)</f>
        <v>0</v>
      </c>
      <c r="F15" s="671"/>
      <c r="G15" s="672"/>
      <c r="H15" s="649"/>
      <c r="I15" s="650"/>
      <c r="J15" s="651"/>
    </row>
    <row r="16" spans="1:18" ht="15.95" customHeight="1">
      <c r="A16" s="17">
        <v>42</v>
      </c>
      <c r="B16" s="718" t="s">
        <v>3601</v>
      </c>
      <c r="C16" s="620"/>
      <c r="D16" s="719"/>
      <c r="E16" s="702">
        <f>+E10+MAX(0,E15)</f>
        <v>0</v>
      </c>
      <c r="F16" s="703"/>
      <c r="G16" s="704"/>
      <c r="H16" s="649"/>
      <c r="I16" s="650"/>
      <c r="J16" s="651"/>
    </row>
    <row r="17" spans="1:61" ht="15.95" customHeight="1">
      <c r="A17" s="74">
        <v>43</v>
      </c>
      <c r="B17" s="662" t="s">
        <v>145</v>
      </c>
      <c r="C17" s="663"/>
      <c r="D17" s="664"/>
      <c r="E17" s="670"/>
      <c r="F17" s="671"/>
      <c r="G17" s="672"/>
      <c r="H17" s="649"/>
      <c r="I17" s="650"/>
      <c r="J17" s="651"/>
    </row>
    <row r="18" spans="1:61" ht="24" customHeight="1">
      <c r="A18" s="17">
        <v>44</v>
      </c>
      <c r="B18" s="662" t="s">
        <v>3602</v>
      </c>
      <c r="C18" s="665"/>
      <c r="D18" s="666"/>
      <c r="E18" s="706">
        <f>+'6Př'!E20</f>
        <v>0</v>
      </c>
      <c r="F18" s="707"/>
      <c r="G18" s="708"/>
      <c r="H18" s="649"/>
      <c r="I18" s="650"/>
      <c r="J18" s="651"/>
    </row>
    <row r="19" spans="1:61" ht="15.95" customHeight="1" thickBot="1">
      <c r="A19" s="16">
        <v>45</v>
      </c>
      <c r="B19" s="659" t="s">
        <v>3373</v>
      </c>
      <c r="C19" s="660"/>
      <c r="D19" s="661"/>
      <c r="E19" s="699">
        <f>IF(OR(E16&gt;300000,+E7+'1Př1'!F11+'1Př1'!A27+'2Př'!G10+'2Př'!D28&gt;800000),T("LIMIT"),+E16-E18)</f>
        <v>0</v>
      </c>
      <c r="F19" s="700"/>
      <c r="G19" s="701"/>
      <c r="H19" s="686"/>
      <c r="I19" s="687"/>
      <c r="J19" s="688"/>
      <c r="K19" s="480" t="str">
        <f>+IF(EXACT(E19,"LIMIT"),"Neomezenou verzi této šablony zakoupíte zde:"," ")</f>
        <v xml:space="preserve"> </v>
      </c>
    </row>
    <row r="20" spans="1:61" ht="15" customHeight="1" thickBot="1">
      <c r="A20" s="705" t="s">
        <v>49</v>
      </c>
      <c r="B20" s="522"/>
      <c r="C20" s="522"/>
      <c r="D20" s="522"/>
      <c r="E20" s="522"/>
      <c r="F20" s="522"/>
      <c r="G20" s="522"/>
      <c r="H20" s="522"/>
      <c r="I20" s="522"/>
      <c r="J20" s="522"/>
      <c r="K20" s="636" t="str">
        <f>+IF(EXACT(E19,"LIMIT"),"http://business.center.cz/business/sablony/s3-priznani-k-dani-z-prijmu-fyzickych-osob.aspx"," ")</f>
        <v xml:space="preserve"> </v>
      </c>
      <c r="L20" s="502"/>
      <c r="M20" s="502"/>
      <c r="N20" s="502"/>
      <c r="O20" s="502"/>
    </row>
    <row r="21" spans="1:61" ht="22.5" customHeight="1">
      <c r="A21" s="713" t="s">
        <v>3698</v>
      </c>
      <c r="B21" s="714"/>
      <c r="C21" s="714"/>
      <c r="D21" s="715"/>
      <c r="E21" s="114" t="s">
        <v>189</v>
      </c>
      <c r="F21" s="709"/>
      <c r="G21" s="710"/>
      <c r="H21" s="114" t="s">
        <v>189</v>
      </c>
      <c r="I21" s="709"/>
      <c r="J21" s="711"/>
    </row>
    <row r="22" spans="1:61" ht="15.95" customHeight="1">
      <c r="A22" s="40">
        <v>46</v>
      </c>
      <c r="B22" s="656" t="s">
        <v>3699</v>
      </c>
      <c r="C22" s="656"/>
      <c r="D22" s="656"/>
      <c r="E22" s="138"/>
      <c r="F22" s="657">
        <v>0</v>
      </c>
      <c r="G22" s="658"/>
      <c r="H22" s="125"/>
      <c r="I22" s="652"/>
      <c r="J22" s="695"/>
      <c r="L22" s="73" t="str">
        <f>+IF(OR(AND(AND(0&lt;F22,F22&lt;E16*0.02),AND(0&lt;F22,F22&lt;1000)),F22&gt;E16*0.3),"CHYBA"," ")</f>
        <v xml:space="preserve"> </v>
      </c>
    </row>
    <row r="23" spans="1:61" ht="15.95" customHeight="1">
      <c r="A23" s="40">
        <v>47</v>
      </c>
      <c r="B23" s="656" t="s">
        <v>3700</v>
      </c>
      <c r="C23" s="656"/>
      <c r="D23" s="716"/>
      <c r="E23" s="89"/>
      <c r="F23" s="657">
        <v>0</v>
      </c>
      <c r="G23" s="658"/>
      <c r="H23" s="125"/>
      <c r="I23" s="652"/>
      <c r="J23" s="653"/>
      <c r="L23" s="73" t="str">
        <f>+IF(F23&gt;300000,"CHYBA"," ")</f>
        <v xml:space="preserve"> </v>
      </c>
    </row>
    <row r="24" spans="1:61" ht="24" customHeight="1">
      <c r="A24" s="40">
        <v>48</v>
      </c>
      <c r="B24" s="654" t="s">
        <v>3701</v>
      </c>
      <c r="C24" s="654"/>
      <c r="D24" s="655"/>
      <c r="E24" s="138"/>
      <c r="F24" s="657">
        <v>0</v>
      </c>
      <c r="G24" s="658"/>
      <c r="H24" s="125"/>
      <c r="I24" s="652"/>
      <c r="J24" s="653"/>
      <c r="L24" s="73" t="str">
        <f>+IF(F24&gt;24000,"CHYBA"," ")</f>
        <v xml:space="preserve"> </v>
      </c>
    </row>
    <row r="25" spans="1:61" ht="15.95" customHeight="1">
      <c r="A25" s="40">
        <v>49</v>
      </c>
      <c r="B25" s="656" t="s">
        <v>3702</v>
      </c>
      <c r="C25" s="656"/>
      <c r="D25" s="656"/>
      <c r="E25" s="138"/>
      <c r="F25" s="657">
        <v>0</v>
      </c>
      <c r="G25" s="658"/>
      <c r="H25" s="125"/>
      <c r="I25" s="652"/>
      <c r="J25" s="653"/>
      <c r="L25" s="73" t="str">
        <f>+IF(F25&gt;24000,"CHYBA"," ")</f>
        <v xml:space="preserve"> </v>
      </c>
    </row>
    <row r="26" spans="1:61" ht="15.95" customHeight="1">
      <c r="A26" s="40">
        <v>50</v>
      </c>
      <c r="B26" s="656" t="s">
        <v>3703</v>
      </c>
      <c r="C26" s="656"/>
      <c r="D26" s="656"/>
      <c r="E26" s="138"/>
      <c r="F26" s="657">
        <v>0</v>
      </c>
      <c r="G26" s="658"/>
      <c r="H26" s="125"/>
      <c r="I26" s="652"/>
      <c r="J26" s="653"/>
      <c r="L26" s="73" t="str">
        <f>+IF(OR(F26&gt;3000,F26&gt;0.015*E4),"CHYBA"," ")</f>
        <v xml:space="preserve"> </v>
      </c>
    </row>
    <row r="27" spans="1:61" ht="15.95" customHeight="1">
      <c r="A27" s="40">
        <v>51</v>
      </c>
      <c r="B27" s="654" t="s">
        <v>3704</v>
      </c>
      <c r="C27" s="654"/>
      <c r="D27" s="654"/>
      <c r="E27" s="138"/>
      <c r="F27" s="657">
        <v>0</v>
      </c>
      <c r="G27" s="658"/>
      <c r="H27" s="125"/>
      <c r="I27" s="652"/>
      <c r="J27" s="653"/>
      <c r="L27" s="73" t="str">
        <f>+IF(F27&gt;10000,"CHYBA"," ")</f>
        <v xml:space="preserve"> </v>
      </c>
    </row>
    <row r="28" spans="1:61" ht="15.95" customHeight="1">
      <c r="A28" s="40">
        <v>52</v>
      </c>
      <c r="B28" s="656" t="s">
        <v>3490</v>
      </c>
      <c r="C28" s="656"/>
      <c r="D28" s="656"/>
      <c r="E28" s="138"/>
      <c r="F28" s="657">
        <v>0</v>
      </c>
      <c r="G28" s="658"/>
      <c r="H28" s="125"/>
      <c r="I28" s="652"/>
      <c r="J28" s="653"/>
    </row>
    <row r="29" spans="1:61" ht="15.95" customHeight="1" thickBot="1">
      <c r="A29" s="41">
        <v>53</v>
      </c>
      <c r="B29" s="656" t="s">
        <v>3491</v>
      </c>
      <c r="C29" s="656"/>
      <c r="D29" s="656"/>
      <c r="E29" s="138"/>
      <c r="F29" s="717">
        <v>0</v>
      </c>
      <c r="G29" s="685"/>
      <c r="H29" s="125"/>
      <c r="I29" s="652"/>
      <c r="J29" s="653"/>
    </row>
    <row r="30" spans="1:61" ht="6" customHeight="1" thickBot="1">
      <c r="A30" s="720"/>
      <c r="B30" s="721"/>
      <c r="C30" s="721"/>
      <c r="D30" s="721"/>
      <c r="E30" s="721"/>
      <c r="F30" s="721"/>
      <c r="G30" s="721"/>
      <c r="H30" s="721"/>
      <c r="I30" s="721"/>
      <c r="J30" s="721"/>
    </row>
    <row r="31" spans="1:61" ht="24" customHeight="1">
      <c r="A31" s="115">
        <v>54</v>
      </c>
      <c r="B31" s="722" t="s">
        <v>3603</v>
      </c>
      <c r="C31" s="722"/>
      <c r="D31" s="722"/>
      <c r="E31" s="723"/>
      <c r="F31" s="724">
        <f>+SUM('DAP2'!F22:G29)</f>
        <v>0</v>
      </c>
      <c r="G31" s="710"/>
      <c r="H31" s="696"/>
      <c r="I31" s="697"/>
      <c r="J31" s="698"/>
      <c r="BG31" s="73"/>
      <c r="BH31" s="73"/>
      <c r="BI31" s="73"/>
    </row>
    <row r="32" spans="1:61" ht="24" customHeight="1">
      <c r="A32" s="42">
        <v>55</v>
      </c>
      <c r="B32" s="654" t="s">
        <v>3374</v>
      </c>
      <c r="C32" s="663"/>
      <c r="D32" s="663"/>
      <c r="E32" s="664"/>
      <c r="F32" s="725">
        <f>MAX(+'DAP2'!E19-'DAP2'!F31,0)</f>
        <v>0</v>
      </c>
      <c r="G32" s="726"/>
      <c r="H32" s="652"/>
      <c r="I32" s="620"/>
      <c r="J32" s="730"/>
      <c r="BG32" s="73"/>
      <c r="BH32" s="73"/>
      <c r="BI32" s="73"/>
    </row>
    <row r="33" spans="1:61" ht="15" customHeight="1">
      <c r="A33" s="40">
        <v>56</v>
      </c>
      <c r="B33" s="656" t="s">
        <v>3473</v>
      </c>
      <c r="C33" s="656"/>
      <c r="D33" s="656"/>
      <c r="E33" s="716"/>
      <c r="F33" s="725">
        <f>+FLOOR(F32,100)</f>
        <v>0</v>
      </c>
      <c r="G33" s="727"/>
      <c r="H33" s="652"/>
      <c r="I33" s="620"/>
      <c r="J33" s="730"/>
      <c r="BG33" s="73"/>
      <c r="BH33" s="73"/>
      <c r="BI33" s="73"/>
    </row>
    <row r="34" spans="1:61" ht="15" customHeight="1" thickBot="1">
      <c r="A34" s="41">
        <v>57</v>
      </c>
      <c r="B34" s="731" t="s">
        <v>107</v>
      </c>
      <c r="C34" s="731"/>
      <c r="D34" s="731"/>
      <c r="E34" s="732"/>
      <c r="F34" s="733">
        <f>+F33*0.15+MAX(F33-1582812,0)*0.08</f>
        <v>0</v>
      </c>
      <c r="G34" s="734"/>
      <c r="H34" s="738"/>
      <c r="I34" s="547"/>
      <c r="J34" s="739"/>
      <c r="BG34" s="73"/>
      <c r="BH34" s="73"/>
      <c r="BI34" s="73"/>
    </row>
    <row r="35" spans="1:61" ht="15" customHeight="1" thickBot="1">
      <c r="A35" s="743" t="s">
        <v>239</v>
      </c>
      <c r="B35" s="744"/>
      <c r="C35" s="744"/>
      <c r="D35" s="744"/>
      <c r="E35" s="745"/>
      <c r="F35" s="745"/>
      <c r="G35" s="542"/>
      <c r="H35" s="542"/>
      <c r="I35" s="542"/>
      <c r="J35" s="542"/>
    </row>
    <row r="36" spans="1:61" ht="24" customHeight="1">
      <c r="A36" s="115">
        <v>58</v>
      </c>
      <c r="B36" s="722" t="s">
        <v>3375</v>
      </c>
      <c r="C36" s="722"/>
      <c r="D36" s="722"/>
      <c r="E36" s="723"/>
      <c r="F36" s="748">
        <f>+IF(OR(+'3Př'!F27+'3Př'!F30&gt;0),'3Př'!F30,F34)</f>
        <v>0</v>
      </c>
      <c r="G36" s="749"/>
      <c r="H36" s="696"/>
      <c r="I36" s="697"/>
      <c r="J36" s="698"/>
      <c r="BG36" s="73"/>
      <c r="BH36" s="73"/>
      <c r="BI36" s="73"/>
    </row>
    <row r="37" spans="1:61" ht="15.95" customHeight="1">
      <c r="A37" s="40">
        <v>59</v>
      </c>
      <c r="B37" s="728" t="s">
        <v>145</v>
      </c>
      <c r="C37" s="728"/>
      <c r="D37" s="728"/>
      <c r="E37" s="729"/>
      <c r="F37" s="750"/>
      <c r="G37" s="751"/>
      <c r="H37" s="652"/>
      <c r="I37" s="620"/>
      <c r="J37" s="730"/>
      <c r="BG37" s="73"/>
      <c r="BH37" s="73"/>
      <c r="BI37" s="73"/>
    </row>
    <row r="38" spans="1:61" ht="15" customHeight="1">
      <c r="A38" s="40">
        <v>60</v>
      </c>
      <c r="B38" s="654" t="s">
        <v>3604</v>
      </c>
      <c r="C38" s="654"/>
      <c r="D38" s="654"/>
      <c r="E38" s="655"/>
      <c r="F38" s="657">
        <f>+IF(F34=F36,CEILING(F36,1),CEILING(F36,1))</f>
        <v>0</v>
      </c>
      <c r="G38" s="726"/>
      <c r="H38" s="652"/>
      <c r="I38" s="620"/>
      <c r="J38" s="730"/>
      <c r="BG38" s="73"/>
      <c r="BH38" s="73"/>
      <c r="BI38" s="73"/>
    </row>
    <row r="39" spans="1:61" ht="24" customHeight="1" thickBot="1">
      <c r="A39" s="435">
        <v>61</v>
      </c>
      <c r="B39" s="746" t="s">
        <v>53</v>
      </c>
      <c r="C39" s="746"/>
      <c r="D39" s="746"/>
      <c r="E39" s="747"/>
      <c r="F39" s="733">
        <f>IF('DAP2'!E15&lt;0,-'DAP2'!E15,0)</f>
        <v>0</v>
      </c>
      <c r="G39" s="737"/>
      <c r="H39" s="738"/>
      <c r="I39" s="547"/>
      <c r="J39" s="739"/>
      <c r="BG39" s="73"/>
      <c r="BH39" s="73"/>
      <c r="BI39" s="73"/>
    </row>
    <row r="40" spans="1:61" ht="15" customHeight="1" thickBot="1">
      <c r="A40" s="740" t="s">
        <v>255</v>
      </c>
      <c r="B40" s="741"/>
      <c r="C40" s="741"/>
      <c r="D40" s="741"/>
      <c r="E40" s="741"/>
      <c r="F40" s="741"/>
      <c r="G40" s="542"/>
      <c r="H40" s="542"/>
      <c r="I40" s="542"/>
      <c r="J40" s="542"/>
    </row>
    <row r="41" spans="1:61" ht="15.95" customHeight="1">
      <c r="A41" s="115">
        <v>62</v>
      </c>
      <c r="B41" s="722" t="s">
        <v>175</v>
      </c>
      <c r="C41" s="722"/>
      <c r="D41" s="722"/>
      <c r="E41" s="723"/>
      <c r="F41" s="742">
        <v>0</v>
      </c>
      <c r="G41" s="710"/>
      <c r="H41" s="696"/>
      <c r="I41" s="697"/>
      <c r="J41" s="698"/>
    </row>
    <row r="42" spans="1:61" ht="15.95" customHeight="1">
      <c r="A42" s="40" t="s">
        <v>3668</v>
      </c>
      <c r="B42" s="752" t="s">
        <v>3669</v>
      </c>
      <c r="C42" s="752"/>
      <c r="D42" s="752"/>
      <c r="E42" s="753"/>
      <c r="F42" s="754">
        <v>0</v>
      </c>
      <c r="G42" s="755"/>
      <c r="H42" s="756"/>
      <c r="I42" s="757"/>
      <c r="J42" s="758"/>
    </row>
    <row r="43" spans="1:61" ht="15.95" customHeight="1" thickBot="1">
      <c r="A43" s="41">
        <v>63</v>
      </c>
      <c r="B43" s="735" t="s">
        <v>179</v>
      </c>
      <c r="C43" s="735"/>
      <c r="D43" s="735"/>
      <c r="E43" s="736"/>
      <c r="F43" s="717">
        <v>0</v>
      </c>
      <c r="G43" s="737"/>
      <c r="H43" s="738"/>
      <c r="I43" s="547"/>
      <c r="J43" s="739"/>
    </row>
    <row r="44" spans="1:61" ht="24" customHeight="1" thickBot="1">
      <c r="A44" s="647" t="s">
        <v>3376</v>
      </c>
      <c r="B44" s="648"/>
      <c r="C44" s="648"/>
      <c r="D44" s="648"/>
      <c r="E44" s="648"/>
      <c r="F44" s="648"/>
      <c r="G44" s="648"/>
      <c r="H44" s="648"/>
      <c r="I44" s="648"/>
      <c r="J44" s="648"/>
    </row>
    <row r="45" spans="1:61" ht="24" customHeight="1" thickBot="1">
      <c r="A45" s="637" t="s">
        <v>31</v>
      </c>
      <c r="B45" s="638"/>
      <c r="C45" s="639"/>
      <c r="D45" s="640"/>
      <c r="E45" s="641"/>
      <c r="F45" s="642" t="s">
        <v>131</v>
      </c>
      <c r="G45" s="643"/>
      <c r="H45" s="644"/>
      <c r="I45" s="645"/>
      <c r="J45" s="646"/>
    </row>
    <row r="46" spans="1:61" ht="12" customHeight="1">
      <c r="A46" s="712">
        <v>2</v>
      </c>
      <c r="B46" s="712"/>
      <c r="C46" s="712"/>
      <c r="D46" s="712"/>
      <c r="E46" s="712"/>
      <c r="F46" s="712"/>
      <c r="G46" s="712"/>
      <c r="H46" s="712"/>
      <c r="I46" s="712"/>
      <c r="J46" s="712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io4aTYHm1+i8T+PBYlMLQR8IFoD48OQ+M9tXke0mjEdJqOh1jx6owW+BjBafYDoE++Lli2Q/QnWbiXXuTEDSsA==" saltValue="obOJGjTyVEQip0OtlsqFTg==" spinCount="100000" sheet="1" objects="1" scenarios="1"/>
  <mergeCells count="122"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B42:E42"/>
    <mergeCell ref="F42:G42"/>
    <mergeCell ref="H42:J42"/>
    <mergeCell ref="H37:J37"/>
    <mergeCell ref="A46:J46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3:E43"/>
    <mergeCell ref="F43:G43"/>
    <mergeCell ref="H36:J3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K20:O20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</mergeCells>
  <phoneticPr fontId="11" type="noConversion"/>
  <hyperlinks>
    <hyperlink ref="K20" r:id="rId1" display="http://business.center.cz/business/sablony/s3-priznani-k-dani-z-prijmu-fyzickych-osob.aspx" xr:uid="{218C2196-2318-4A32-BA6F-7F4A11DC7EE9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topLeftCell="A10" workbookViewId="0">
      <selection activeCell="H20" sqref="H20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713" t="s">
        <v>32</v>
      </c>
      <c r="B1" s="714"/>
      <c r="C1" s="715"/>
      <c r="D1" s="114" t="s">
        <v>189</v>
      </c>
      <c r="E1" s="709"/>
      <c r="F1" s="766"/>
      <c r="G1" s="710"/>
      <c r="H1" s="114" t="s">
        <v>189</v>
      </c>
      <c r="I1" s="709"/>
      <c r="J1" s="815"/>
      <c r="K1" s="711"/>
      <c r="BO1"/>
      <c r="BP1"/>
      <c r="BQ1"/>
      <c r="BR1"/>
      <c r="BS1"/>
      <c r="BT1"/>
      <c r="BU1"/>
    </row>
    <row r="2" spans="1:73" ht="18" customHeight="1">
      <c r="A2" s="40">
        <v>64</v>
      </c>
      <c r="B2" s="656" t="s">
        <v>62</v>
      </c>
      <c r="C2" s="716"/>
      <c r="D2" s="119"/>
      <c r="E2" s="657">
        <v>30840</v>
      </c>
      <c r="F2" s="767"/>
      <c r="G2" s="726"/>
      <c r="H2" s="124"/>
      <c r="I2" s="652"/>
      <c r="J2" s="797"/>
      <c r="K2" s="798"/>
      <c r="BO2"/>
      <c r="BP2"/>
      <c r="BQ2"/>
      <c r="BR2"/>
      <c r="BS2"/>
      <c r="BT2"/>
      <c r="BU2"/>
    </row>
    <row r="3" spans="1:73" ht="18" customHeight="1">
      <c r="A3" s="40" t="s">
        <v>256</v>
      </c>
      <c r="B3" s="656" t="s">
        <v>63</v>
      </c>
      <c r="C3" s="716"/>
      <c r="D3" s="89">
        <v>0</v>
      </c>
      <c r="E3" s="657">
        <f>+D3*2070</f>
        <v>0</v>
      </c>
      <c r="F3" s="816"/>
      <c r="G3" s="817"/>
      <c r="H3" s="124"/>
      <c r="I3" s="652"/>
      <c r="J3" s="797"/>
      <c r="K3" s="798"/>
      <c r="L3" s="135"/>
      <c r="BO3"/>
      <c r="BP3"/>
      <c r="BQ3"/>
      <c r="BR3"/>
      <c r="BS3"/>
      <c r="BT3"/>
      <c r="BU3"/>
    </row>
    <row r="4" spans="1:73" ht="24" customHeight="1">
      <c r="A4" s="40" t="s">
        <v>257</v>
      </c>
      <c r="B4" s="654" t="s">
        <v>64</v>
      </c>
      <c r="C4" s="655"/>
      <c r="D4" s="89">
        <v>0</v>
      </c>
      <c r="E4" s="657">
        <f>+D4*4140</f>
        <v>0</v>
      </c>
      <c r="F4" s="818"/>
      <c r="G4" s="819"/>
      <c r="H4" s="124"/>
      <c r="I4" s="652"/>
      <c r="J4" s="797"/>
      <c r="K4" s="798"/>
      <c r="L4" s="135"/>
      <c r="BO4"/>
      <c r="BP4"/>
      <c r="BQ4"/>
      <c r="BR4"/>
      <c r="BS4"/>
      <c r="BT4"/>
      <c r="BU4"/>
    </row>
    <row r="5" spans="1:73" ht="24" customHeight="1">
      <c r="A5" s="40">
        <v>66</v>
      </c>
      <c r="B5" s="654" t="s">
        <v>3377</v>
      </c>
      <c r="C5" s="655"/>
      <c r="D5" s="89">
        <v>0</v>
      </c>
      <c r="E5" s="725">
        <f>+D5*210</f>
        <v>0</v>
      </c>
      <c r="F5" s="768"/>
      <c r="G5" s="769"/>
      <c r="H5" s="124"/>
      <c r="I5" s="652"/>
      <c r="J5" s="797"/>
      <c r="K5" s="798"/>
      <c r="BO5"/>
      <c r="BP5"/>
      <c r="BQ5"/>
      <c r="BR5"/>
      <c r="BS5"/>
      <c r="BT5"/>
      <c r="BU5"/>
    </row>
    <row r="6" spans="1:73" ht="24" customHeight="1">
      <c r="A6" s="40">
        <v>67</v>
      </c>
      <c r="B6" s="654" t="s">
        <v>3378</v>
      </c>
      <c r="C6" s="655"/>
      <c r="D6" s="89">
        <v>0</v>
      </c>
      <c r="E6" s="725">
        <f>+D6*420</f>
        <v>0</v>
      </c>
      <c r="F6" s="768"/>
      <c r="G6" s="769"/>
      <c r="H6" s="124"/>
      <c r="I6" s="652"/>
      <c r="J6" s="797"/>
      <c r="K6" s="798"/>
      <c r="BO6"/>
      <c r="BP6"/>
      <c r="BQ6"/>
      <c r="BR6"/>
      <c r="BS6"/>
      <c r="BT6"/>
      <c r="BU6"/>
    </row>
    <row r="7" spans="1:73" ht="18" customHeight="1">
      <c r="A7" s="40">
        <v>68</v>
      </c>
      <c r="B7" s="654" t="s">
        <v>3585</v>
      </c>
      <c r="C7" s="655"/>
      <c r="D7" s="89">
        <v>0</v>
      </c>
      <c r="E7" s="725">
        <f>+D7*1345</f>
        <v>0</v>
      </c>
      <c r="F7" s="768"/>
      <c r="G7" s="769"/>
      <c r="H7" s="124"/>
      <c r="I7" s="652"/>
      <c r="J7" s="797"/>
      <c r="K7" s="798"/>
      <c r="BO7"/>
      <c r="BP7"/>
      <c r="BQ7"/>
      <c r="BR7"/>
      <c r="BS7"/>
      <c r="BT7"/>
      <c r="BU7"/>
    </row>
    <row r="8" spans="1:73" ht="18" customHeight="1">
      <c r="A8" s="40">
        <v>69</v>
      </c>
      <c r="B8" s="654" t="s">
        <v>145</v>
      </c>
      <c r="C8" s="655"/>
      <c r="D8" s="479"/>
      <c r="E8" s="725"/>
      <c r="F8" s="768"/>
      <c r="G8" s="769"/>
      <c r="H8" s="124"/>
      <c r="I8" s="652"/>
      <c r="J8" s="797"/>
      <c r="K8" s="798"/>
      <c r="BO8"/>
      <c r="BP8"/>
      <c r="BQ8"/>
      <c r="BR8"/>
      <c r="BS8"/>
      <c r="BT8"/>
      <c r="BU8"/>
    </row>
    <row r="9" spans="1:73" ht="18" customHeight="1">
      <c r="A9" s="40" t="s">
        <v>61</v>
      </c>
      <c r="B9" s="654" t="s">
        <v>145</v>
      </c>
      <c r="C9" s="655"/>
      <c r="D9" s="119"/>
      <c r="E9" s="801"/>
      <c r="F9" s="802"/>
      <c r="G9" s="803"/>
      <c r="H9" s="124"/>
      <c r="I9" s="652"/>
      <c r="J9" s="797"/>
      <c r="K9" s="798"/>
      <c r="BO9"/>
      <c r="BP9"/>
      <c r="BQ9"/>
      <c r="BR9"/>
      <c r="BS9"/>
      <c r="BT9"/>
      <c r="BU9"/>
    </row>
    <row r="10" spans="1:73" ht="18" customHeight="1">
      <c r="A10" s="40" t="s">
        <v>3492</v>
      </c>
      <c r="B10" s="654" t="s">
        <v>145</v>
      </c>
      <c r="C10" s="655"/>
      <c r="D10" s="119"/>
      <c r="E10" s="725"/>
      <c r="F10" s="768"/>
      <c r="G10" s="769"/>
      <c r="H10" s="124"/>
      <c r="I10" s="652"/>
      <c r="J10" s="797"/>
      <c r="K10" s="798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752" t="s">
        <v>3705</v>
      </c>
      <c r="C11" s="753"/>
      <c r="D11" s="119"/>
      <c r="E11" s="725">
        <f>+SUM(E2:F7)+'DAP2'!F41+'DAP2'!F42+'DAP2'!F43</f>
        <v>30840</v>
      </c>
      <c r="F11" s="768"/>
      <c r="G11" s="769"/>
      <c r="H11" s="124"/>
      <c r="I11" s="652"/>
      <c r="J11" s="797"/>
      <c r="K11" s="798"/>
      <c r="BR11"/>
      <c r="BS11"/>
      <c r="BT11"/>
      <c r="BU11"/>
    </row>
    <row r="12" spans="1:73" ht="24" customHeight="1" thickBot="1">
      <c r="A12" s="41">
        <v>71</v>
      </c>
      <c r="B12" s="735" t="s">
        <v>3379</v>
      </c>
      <c r="C12" s="736"/>
      <c r="D12" s="120"/>
      <c r="E12" s="733">
        <f>+MAX('DAP2'!F38-'DAP3'!E11,0)</f>
        <v>0</v>
      </c>
      <c r="F12" s="830"/>
      <c r="G12" s="831"/>
      <c r="H12" s="126"/>
      <c r="I12" s="738"/>
      <c r="J12" s="839"/>
      <c r="K12" s="840"/>
      <c r="BR12"/>
      <c r="BS12"/>
      <c r="BT12"/>
      <c r="BU12"/>
    </row>
    <row r="13" spans="1:73" ht="15.95" customHeight="1" thickBot="1">
      <c r="A13" s="790" t="s">
        <v>3380</v>
      </c>
      <c r="B13" s="790"/>
      <c r="C13" s="791"/>
      <c r="D13" s="791"/>
      <c r="E13" s="791"/>
      <c r="F13" s="791"/>
      <c r="G13" s="791"/>
      <c r="H13" s="791"/>
      <c r="I13" s="791"/>
      <c r="J13" s="791"/>
      <c r="K13" s="791"/>
    </row>
    <row r="14" spans="1:73" ht="22.5" customHeight="1">
      <c r="A14" s="794"/>
      <c r="B14" s="804" t="s">
        <v>3383</v>
      </c>
      <c r="C14" s="834"/>
      <c r="D14" s="804" t="s">
        <v>131</v>
      </c>
      <c r="E14" s="805"/>
      <c r="F14" s="808" t="s">
        <v>3381</v>
      </c>
      <c r="G14" s="809"/>
      <c r="H14" s="808" t="s">
        <v>3382</v>
      </c>
      <c r="I14" s="809"/>
      <c r="J14" s="808" t="s">
        <v>3457</v>
      </c>
      <c r="K14" s="829"/>
      <c r="BQ14"/>
      <c r="BR14"/>
      <c r="BS14"/>
      <c r="BT14"/>
      <c r="BU14"/>
    </row>
    <row r="15" spans="1:73" ht="21.95" customHeight="1">
      <c r="A15" s="795"/>
      <c r="B15" s="806"/>
      <c r="C15" s="807"/>
      <c r="D15" s="806"/>
      <c r="E15" s="807"/>
      <c r="F15" s="329" t="s">
        <v>3455</v>
      </c>
      <c r="G15" s="329" t="s">
        <v>3456</v>
      </c>
      <c r="H15" s="329" t="s">
        <v>3455</v>
      </c>
      <c r="I15" s="329" t="s">
        <v>3456</v>
      </c>
      <c r="J15" s="329" t="s">
        <v>3455</v>
      </c>
      <c r="K15" s="330" t="s">
        <v>3456</v>
      </c>
      <c r="BQ15"/>
      <c r="BR15"/>
      <c r="BS15"/>
      <c r="BT15"/>
      <c r="BU15"/>
    </row>
    <row r="16" spans="1:73" ht="12" customHeight="1">
      <c r="A16" s="796"/>
      <c r="B16" s="792">
        <v>1</v>
      </c>
      <c r="C16" s="793"/>
      <c r="D16" s="792">
        <v>2</v>
      </c>
      <c r="E16" s="792"/>
      <c r="F16" s="799">
        <v>3</v>
      </c>
      <c r="G16" s="810"/>
      <c r="H16" s="799">
        <v>4</v>
      </c>
      <c r="I16" s="810"/>
      <c r="J16" s="799">
        <v>5</v>
      </c>
      <c r="K16" s="800"/>
      <c r="BQ16"/>
      <c r="BR16"/>
      <c r="BS16"/>
      <c r="BT16"/>
      <c r="BU16"/>
    </row>
    <row r="17" spans="1:73" ht="18" customHeight="1">
      <c r="A17" s="130">
        <v>1</v>
      </c>
      <c r="B17" s="822" t="s">
        <v>125</v>
      </c>
      <c r="C17" s="823"/>
      <c r="D17" s="774"/>
      <c r="E17" s="775"/>
      <c r="F17" s="396"/>
      <c r="G17" s="396"/>
      <c r="H17" s="396"/>
      <c r="I17" s="396"/>
      <c r="J17" s="396"/>
      <c r="K17" s="397"/>
      <c r="BQ17"/>
      <c r="BR17"/>
      <c r="BS17"/>
      <c r="BT17"/>
      <c r="BU17"/>
    </row>
    <row r="18" spans="1:73" ht="18" customHeight="1">
      <c r="A18" s="130">
        <v>2</v>
      </c>
      <c r="B18" s="822" t="s">
        <v>125</v>
      </c>
      <c r="C18" s="823"/>
      <c r="D18" s="774"/>
      <c r="E18" s="774"/>
      <c r="F18" s="396"/>
      <c r="G18" s="396"/>
      <c r="H18" s="396"/>
      <c r="I18" s="396"/>
      <c r="J18" s="396"/>
      <c r="K18" s="397"/>
      <c r="BQ18"/>
      <c r="BR18"/>
      <c r="BS18"/>
      <c r="BT18"/>
      <c r="BU18"/>
    </row>
    <row r="19" spans="1:73" ht="18" customHeight="1">
      <c r="A19" s="130">
        <v>3</v>
      </c>
      <c r="B19" s="822" t="s">
        <v>125</v>
      </c>
      <c r="C19" s="823"/>
      <c r="D19" s="774"/>
      <c r="E19" s="774"/>
      <c r="F19" s="396"/>
      <c r="G19" s="396"/>
      <c r="H19" s="396"/>
      <c r="I19" s="396"/>
      <c r="J19" s="396"/>
      <c r="K19" s="397"/>
      <c r="BQ19"/>
      <c r="BR19"/>
      <c r="BS19"/>
      <c r="BT19"/>
      <c r="BU19"/>
    </row>
    <row r="20" spans="1:73" ht="18" customHeight="1">
      <c r="A20" s="130">
        <v>4</v>
      </c>
      <c r="B20" s="822" t="s">
        <v>125</v>
      </c>
      <c r="C20" s="823"/>
      <c r="D20" s="774"/>
      <c r="E20" s="774"/>
      <c r="F20" s="396"/>
      <c r="G20" s="396"/>
      <c r="H20" s="396"/>
      <c r="I20" s="396"/>
      <c r="J20" s="396"/>
      <c r="K20" s="397"/>
      <c r="BQ20"/>
      <c r="BR20"/>
      <c r="BS20"/>
      <c r="BT20"/>
      <c r="BU20"/>
    </row>
    <row r="21" spans="1:73" ht="15.95" customHeight="1" thickBot="1">
      <c r="A21" s="131"/>
      <c r="B21" s="832" t="s">
        <v>54</v>
      </c>
      <c r="C21" s="833"/>
      <c r="D21" s="828"/>
      <c r="E21" s="828"/>
      <c r="F21" s="328">
        <f t="shared" ref="F21:I21" si="0">+SUM(F17:F20)</f>
        <v>0</v>
      </c>
      <c r="G21" s="328">
        <f t="shared" si="0"/>
        <v>0</v>
      </c>
      <c r="H21" s="328">
        <f t="shared" si="0"/>
        <v>0</v>
      </c>
      <c r="I21" s="328">
        <f t="shared" si="0"/>
        <v>0</v>
      </c>
      <c r="J21" s="328">
        <f>+SUM(J17:J20)+Příl_děti!J13</f>
        <v>0</v>
      </c>
      <c r="K21" s="450">
        <f>+SUM(K17:K20)+Příl_děti!K13</f>
        <v>0</v>
      </c>
      <c r="BU21"/>
    </row>
    <row r="22" spans="1:73" ht="6" customHeight="1" thickBot="1">
      <c r="A22" s="770"/>
      <c r="B22" s="770"/>
      <c r="C22" s="648"/>
      <c r="D22" s="648"/>
      <c r="E22" s="648"/>
      <c r="F22" s="648"/>
      <c r="G22" s="648"/>
      <c r="H22" s="648"/>
      <c r="I22" s="648"/>
      <c r="J22" s="648"/>
      <c r="K22" s="648"/>
    </row>
    <row r="23" spans="1:73" ht="18" customHeight="1">
      <c r="A23" s="113">
        <v>72</v>
      </c>
      <c r="B23" s="675" t="s">
        <v>55</v>
      </c>
      <c r="C23" s="824"/>
      <c r="D23" s="771">
        <f>+F21*1267+G21*2534+H21*1860+I21*3720+J21*2320+K21*4640</f>
        <v>0</v>
      </c>
      <c r="E23" s="772"/>
      <c r="F23" s="772"/>
      <c r="G23" s="773"/>
      <c r="H23" s="681"/>
      <c r="I23" s="820"/>
      <c r="J23" s="820"/>
      <c r="K23" s="821"/>
      <c r="L23" s="135"/>
    </row>
    <row r="24" spans="1:73" ht="24" customHeight="1">
      <c r="A24" s="17">
        <v>73</v>
      </c>
      <c r="B24" s="786" t="s">
        <v>3384</v>
      </c>
      <c r="C24" s="787"/>
      <c r="D24" s="706">
        <f>+MIN(D23,E12)</f>
        <v>0</v>
      </c>
      <c r="E24" s="781"/>
      <c r="F24" s="781"/>
      <c r="G24" s="782"/>
      <c r="H24" s="788"/>
      <c r="I24" s="789"/>
      <c r="J24" s="789"/>
      <c r="K24" s="778"/>
    </row>
    <row r="25" spans="1:73" ht="18" customHeight="1">
      <c r="A25" s="428">
        <v>74</v>
      </c>
      <c r="B25" s="779" t="s">
        <v>3493</v>
      </c>
      <c r="C25" s="780"/>
      <c r="D25" s="706">
        <f>+E12-D24</f>
        <v>0</v>
      </c>
      <c r="E25" s="781"/>
      <c r="F25" s="781"/>
      <c r="G25" s="782"/>
      <c r="H25" s="783"/>
      <c r="I25" s="784"/>
      <c r="J25" s="784"/>
      <c r="K25" s="785"/>
    </row>
    <row r="26" spans="1:73" ht="24" customHeight="1" thickBot="1">
      <c r="A26" s="427" t="s">
        <v>3605</v>
      </c>
      <c r="B26" s="841" t="s">
        <v>3706</v>
      </c>
      <c r="C26" s="842"/>
      <c r="D26" s="699">
        <f>+'4Př'!F21</f>
        <v>0</v>
      </c>
      <c r="E26" s="700"/>
      <c r="F26" s="700"/>
      <c r="G26" s="765"/>
      <c r="H26" s="835"/>
      <c r="I26" s="836"/>
      <c r="J26" s="836"/>
      <c r="K26" s="837"/>
    </row>
    <row r="27" spans="1:73" ht="6" customHeight="1" thickBot="1">
      <c r="A27" s="770"/>
      <c r="B27" s="770"/>
      <c r="C27" s="648"/>
      <c r="D27" s="648"/>
      <c r="E27" s="648"/>
      <c r="F27" s="648"/>
      <c r="G27" s="648"/>
      <c r="H27" s="648"/>
      <c r="I27" s="648"/>
      <c r="J27" s="648"/>
      <c r="K27" s="648"/>
    </row>
    <row r="28" spans="1:73" ht="18" customHeight="1">
      <c r="A28" s="113">
        <v>75</v>
      </c>
      <c r="B28" s="675" t="s">
        <v>3606</v>
      </c>
      <c r="C28" s="824"/>
      <c r="D28" s="771">
        <f>+D25+D26</f>
        <v>0</v>
      </c>
      <c r="E28" s="772"/>
      <c r="F28" s="772"/>
      <c r="G28" s="773"/>
      <c r="H28" s="681"/>
      <c r="I28" s="820"/>
      <c r="J28" s="820"/>
      <c r="K28" s="821"/>
    </row>
    <row r="29" spans="1:73" ht="18" customHeight="1">
      <c r="A29" s="17">
        <v>76</v>
      </c>
      <c r="B29" s="786" t="s">
        <v>3385</v>
      </c>
      <c r="C29" s="787"/>
      <c r="D29" s="706">
        <f>IF(OR(+D23-D24&lt;99,+MAX('1Př1'!F11+'1Př1'!A27+'1Př1'!F19+'1Př1'!F22)+'DAP2'!E7&lt;6*18900),0,+D23-D24)</f>
        <v>0</v>
      </c>
      <c r="E29" s="781"/>
      <c r="F29" s="781"/>
      <c r="G29" s="782"/>
      <c r="H29" s="788"/>
      <c r="I29" s="789"/>
      <c r="J29" s="789"/>
      <c r="K29" s="778"/>
    </row>
    <row r="30" spans="1:73" ht="24" customHeight="1">
      <c r="A30" s="17">
        <v>77</v>
      </c>
      <c r="B30" s="786" t="s">
        <v>3607</v>
      </c>
      <c r="C30" s="787"/>
      <c r="D30" s="706">
        <f>+MAX(0,D28-D29)</f>
        <v>0</v>
      </c>
      <c r="E30" s="781"/>
      <c r="F30" s="781"/>
      <c r="G30" s="782"/>
      <c r="H30" s="788"/>
      <c r="I30" s="789"/>
      <c r="J30" s="789"/>
      <c r="K30" s="778"/>
    </row>
    <row r="31" spans="1:73" ht="24" customHeight="1" thickBot="1">
      <c r="A31" s="16" t="s">
        <v>3609</v>
      </c>
      <c r="B31" s="659" t="s">
        <v>3608</v>
      </c>
      <c r="C31" s="838"/>
      <c r="D31" s="683">
        <f>+MAX(0,-D28+D29)</f>
        <v>0</v>
      </c>
      <c r="E31" s="684"/>
      <c r="F31" s="684"/>
      <c r="G31" s="843"/>
      <c r="H31" s="825"/>
      <c r="I31" s="826"/>
      <c r="J31" s="826"/>
      <c r="K31" s="827"/>
    </row>
    <row r="32" spans="1:73" ht="15.95" customHeight="1" thickBot="1">
      <c r="A32" s="813" t="s">
        <v>258</v>
      </c>
      <c r="B32" s="813"/>
      <c r="C32" s="814"/>
      <c r="D32" s="814"/>
      <c r="E32" s="814"/>
      <c r="F32" s="814"/>
      <c r="G32" s="814"/>
      <c r="H32" s="814"/>
      <c r="I32" s="814"/>
      <c r="J32" s="814"/>
      <c r="K32" s="814"/>
    </row>
    <row r="33" spans="1:11" ht="18" customHeight="1">
      <c r="A33" s="17">
        <v>78</v>
      </c>
      <c r="B33" s="844" t="s">
        <v>180</v>
      </c>
      <c r="C33" s="845"/>
      <c r="D33" s="771">
        <v>0</v>
      </c>
      <c r="E33" s="772"/>
      <c r="F33" s="772"/>
      <c r="G33" s="773"/>
      <c r="H33" s="776"/>
      <c r="I33" s="777"/>
      <c r="J33" s="777"/>
      <c r="K33" s="778"/>
    </row>
    <row r="34" spans="1:11" ht="24" customHeight="1">
      <c r="A34" s="17">
        <v>79</v>
      </c>
      <c r="B34" s="759" t="s">
        <v>3610</v>
      </c>
      <c r="C34" s="760"/>
      <c r="D34" s="673">
        <f>+IF(OR(EXACT("X",'DAP1'!E13),EXACT("x",'DAP1'!E13)),'DAP3'!D26,0)</f>
        <v>0</v>
      </c>
      <c r="E34" s="674"/>
      <c r="F34" s="674"/>
      <c r="G34" s="763"/>
      <c r="H34" s="776"/>
      <c r="I34" s="777"/>
      <c r="J34" s="777"/>
      <c r="K34" s="778"/>
    </row>
    <row r="35" spans="1:11" ht="24" customHeight="1">
      <c r="A35" s="17">
        <v>80</v>
      </c>
      <c r="B35" s="759" t="s">
        <v>3386</v>
      </c>
      <c r="C35" s="760"/>
      <c r="D35" s="670">
        <f>+D34-D33</f>
        <v>0</v>
      </c>
      <c r="E35" s="671"/>
      <c r="F35" s="671"/>
      <c r="G35" s="764"/>
      <c r="H35" s="776"/>
      <c r="I35" s="777"/>
      <c r="J35" s="777"/>
      <c r="K35" s="778"/>
    </row>
    <row r="36" spans="1:11" ht="18" customHeight="1">
      <c r="A36" s="17">
        <v>81</v>
      </c>
      <c r="B36" s="759" t="s">
        <v>3387</v>
      </c>
      <c r="C36" s="760"/>
      <c r="D36" s="673">
        <v>0</v>
      </c>
      <c r="E36" s="674"/>
      <c r="F36" s="674"/>
      <c r="G36" s="763"/>
      <c r="H36" s="776"/>
      <c r="I36" s="777"/>
      <c r="J36" s="777"/>
      <c r="K36" s="778"/>
    </row>
    <row r="37" spans="1:11" ht="24" customHeight="1">
      <c r="A37" s="17">
        <v>82</v>
      </c>
      <c r="B37" s="759" t="s">
        <v>181</v>
      </c>
      <c r="C37" s="760"/>
      <c r="D37" s="673">
        <f>+IF(OR(EXACT("X",'DAP1'!E13),EXACT("x",'DAP1'!E13)),'DAP2'!F39,0)</f>
        <v>0</v>
      </c>
      <c r="E37" s="674"/>
      <c r="F37" s="674"/>
      <c r="G37" s="763"/>
      <c r="H37" s="776"/>
      <c r="I37" s="777"/>
      <c r="J37" s="777"/>
      <c r="K37" s="778"/>
    </row>
    <row r="38" spans="1:11" ht="24" customHeight="1" thickBot="1">
      <c r="A38" s="16">
        <v>83</v>
      </c>
      <c r="B38" s="761" t="s">
        <v>3388</v>
      </c>
      <c r="C38" s="762"/>
      <c r="D38" s="699">
        <f>+D37-D36</f>
        <v>0</v>
      </c>
      <c r="E38" s="700"/>
      <c r="F38" s="700"/>
      <c r="G38" s="765"/>
      <c r="H38" s="825"/>
      <c r="I38" s="826"/>
      <c r="J38" s="826"/>
      <c r="K38" s="827"/>
    </row>
    <row r="39" spans="1:11" ht="15.95" customHeight="1" thickBot="1">
      <c r="A39" s="813" t="s">
        <v>259</v>
      </c>
      <c r="B39" s="813"/>
      <c r="C39" s="814"/>
      <c r="D39" s="814"/>
      <c r="E39" s="814"/>
      <c r="F39" s="814"/>
      <c r="G39" s="814"/>
      <c r="H39" s="814"/>
      <c r="I39" s="814"/>
      <c r="J39" s="814"/>
      <c r="K39" s="814"/>
    </row>
    <row r="40" spans="1:11" ht="24" customHeight="1">
      <c r="A40" s="111">
        <v>84</v>
      </c>
      <c r="B40" s="662" t="s">
        <v>3389</v>
      </c>
      <c r="C40" s="812"/>
      <c r="D40" s="771">
        <f>+'DAP2'!M5</f>
        <v>0</v>
      </c>
      <c r="E40" s="772"/>
      <c r="F40" s="772"/>
      <c r="G40" s="773"/>
      <c r="H40" s="776"/>
      <c r="I40" s="777"/>
      <c r="J40" s="777"/>
      <c r="K40" s="778"/>
    </row>
    <row r="41" spans="1:11" ht="18" customHeight="1">
      <c r="A41" s="17">
        <v>85</v>
      </c>
      <c r="B41" s="718" t="s">
        <v>94</v>
      </c>
      <c r="C41" s="811"/>
      <c r="D41" s="673">
        <v>0</v>
      </c>
      <c r="E41" s="674"/>
      <c r="F41" s="674"/>
      <c r="G41" s="763"/>
      <c r="H41" s="776"/>
      <c r="I41" s="777"/>
      <c r="J41" s="777"/>
      <c r="K41" s="778"/>
    </row>
    <row r="42" spans="1:11" ht="24" customHeight="1">
      <c r="A42" s="17">
        <v>86</v>
      </c>
      <c r="B42" s="662" t="s">
        <v>3611</v>
      </c>
      <c r="C42" s="811"/>
      <c r="D42" s="673">
        <v>0</v>
      </c>
      <c r="E42" s="674"/>
      <c r="F42" s="674"/>
      <c r="G42" s="763"/>
      <c r="H42" s="776"/>
      <c r="I42" s="777"/>
      <c r="J42" s="777"/>
      <c r="K42" s="778"/>
    </row>
    <row r="43" spans="1:11" ht="18" customHeight="1">
      <c r="A43" s="17">
        <v>87</v>
      </c>
      <c r="B43" s="718" t="s">
        <v>3666</v>
      </c>
      <c r="C43" s="811"/>
      <c r="D43" s="673">
        <f>+'DAP2'!M6</f>
        <v>0</v>
      </c>
      <c r="E43" s="674"/>
      <c r="F43" s="674"/>
      <c r="G43" s="763"/>
      <c r="H43" s="776"/>
      <c r="I43" s="777"/>
      <c r="J43" s="777"/>
      <c r="K43" s="778"/>
    </row>
    <row r="44" spans="1:11" ht="18" customHeight="1">
      <c r="A44" s="17" t="s">
        <v>228</v>
      </c>
      <c r="B44" s="718" t="s">
        <v>229</v>
      </c>
      <c r="C44" s="811"/>
      <c r="D44" s="673">
        <v>0</v>
      </c>
      <c r="E44" s="674"/>
      <c r="F44" s="674"/>
      <c r="G44" s="763"/>
      <c r="H44" s="776"/>
      <c r="I44" s="777"/>
      <c r="J44" s="777"/>
      <c r="K44" s="778"/>
    </row>
    <row r="45" spans="1:11" ht="18" customHeight="1">
      <c r="A45" s="17">
        <v>88</v>
      </c>
      <c r="B45" s="718" t="s">
        <v>103</v>
      </c>
      <c r="C45" s="811"/>
      <c r="D45" s="673">
        <v>0</v>
      </c>
      <c r="E45" s="674"/>
      <c r="F45" s="674"/>
      <c r="G45" s="763"/>
      <c r="H45" s="776"/>
      <c r="I45" s="777"/>
      <c r="J45" s="777"/>
      <c r="K45" s="778"/>
    </row>
    <row r="46" spans="1:11" ht="24" customHeight="1">
      <c r="A46" s="17">
        <v>89</v>
      </c>
      <c r="B46" s="662" t="s">
        <v>3612</v>
      </c>
      <c r="C46" s="811"/>
      <c r="D46" s="673">
        <f>+'DAP2'!M7</f>
        <v>0</v>
      </c>
      <c r="E46" s="674"/>
      <c r="F46" s="674"/>
      <c r="G46" s="763"/>
      <c r="H46" s="776"/>
      <c r="I46" s="777"/>
      <c r="J46" s="777"/>
      <c r="K46" s="778"/>
    </row>
    <row r="47" spans="1:11" ht="18" customHeight="1">
      <c r="A47" s="17">
        <v>90</v>
      </c>
      <c r="B47" s="718" t="s">
        <v>80</v>
      </c>
      <c r="C47" s="811"/>
      <c r="D47" s="673">
        <v>0</v>
      </c>
      <c r="E47" s="674"/>
      <c r="F47" s="674"/>
      <c r="G47" s="763"/>
      <c r="H47" s="776"/>
      <c r="I47" s="777"/>
      <c r="J47" s="777"/>
      <c r="K47" s="778"/>
    </row>
    <row r="48" spans="1:11" ht="24" customHeight="1" thickBot="1">
      <c r="A48" s="17">
        <v>91</v>
      </c>
      <c r="B48" s="761" t="s">
        <v>3644</v>
      </c>
      <c r="C48" s="762"/>
      <c r="D48" s="699">
        <f>+IF(OR(EXACT("X",'DAP1'!E13),EXACT("x",'DAP1'!E13)),0,+D30-D31-SUM(D40:E45)+D46-D47)</f>
        <v>0</v>
      </c>
      <c r="E48" s="700"/>
      <c r="F48" s="700"/>
      <c r="G48" s="765"/>
      <c r="H48" s="776"/>
      <c r="I48" s="777"/>
      <c r="J48" s="777"/>
      <c r="K48" s="778"/>
    </row>
    <row r="49" spans="1:11">
      <c r="A49" s="743">
        <v>3</v>
      </c>
      <c r="B49" s="743"/>
      <c r="C49" s="743"/>
      <c r="D49" s="743"/>
      <c r="E49" s="743"/>
      <c r="F49" s="743"/>
      <c r="G49" s="743"/>
      <c r="H49" s="743"/>
      <c r="I49" s="743"/>
      <c r="J49" s="743"/>
      <c r="K49" s="743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moBcghljN9J3bcQ6opd5hLhzLiYwVAWqX/sRJcDyGel+Bw5MbTNTSWsienMYB3LrGr0BsRXwuqjdoZTQAe1j7g==" saltValue="NTJv8hU0uf2GDYsEGlRXVg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23</vt:i4>
      </vt:variant>
      <vt:variant>
        <vt:lpstr>Pojmenované oblasti</vt:lpstr>
      </vt:variant>
      <vt:variant>
        <vt:i4>25</vt:i4>
      </vt:variant>
    </vt:vector>
  </HeadingPairs>
  <TitlesOfParts>
    <vt:vector size="48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  <vt:lpstr>Příl_děti!fin_ur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Potvr_ZAM!Oblast_tisku</vt:lpstr>
      <vt:lpstr>Prohl_manž!Oblast_tisku</vt:lpstr>
      <vt:lpstr>Př_b!Oblast_tisku</vt:lpstr>
      <vt:lpstr>Příl_děti!Oblast_tisku</vt:lpstr>
      <vt:lpstr>UVOD!Oblast_tisku</vt:lpstr>
      <vt:lpstr>XML_export!Oblast_tisku</vt:lpstr>
      <vt:lpstr>ZAKL_DATA!Oblast_tisku</vt:lpstr>
      <vt:lpstr>Zálohy!Oblast_tisku</vt:lpstr>
      <vt:lpstr>ZAV!Oblast_tisku</vt:lpstr>
      <vt:lpstr>Příl_děti!staty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2023-12-22T10:44:04Z</cp:lastPrinted>
  <dcterms:created xsi:type="dcterms:W3CDTF">2000-01-30T17:10:20Z</dcterms:created>
  <dcterms:modified xsi:type="dcterms:W3CDTF">2024-12-03T12:45:02Z</dcterms:modified>
</cp:coreProperties>
</file>