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1.xml" ContentType="application/vnd.openxmlformats-officedocument.spreadsheetml.comments+xml"/>
  <Override PartName="/xl/drawings/drawing7.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D:\DATA\PRIZNANI\TODO\NAHRANI\TODO\"/>
    </mc:Choice>
  </mc:AlternateContent>
  <xr:revisionPtr revIDLastSave="0" documentId="13_ncr:1_{E953947F-0D10-450E-9C58-E5F320081698}" xr6:coauthVersionLast="47" xr6:coauthVersionMax="47" xr10:uidLastSave="{00000000-0000-0000-0000-000000000000}"/>
  <bookViews>
    <workbookView xWindow="-120" yWindow="-120" windowWidth="29040" windowHeight="15720" tabRatio="889" firstSheet="2" activeTab="2" xr2:uid="{00000000-000D-0000-FFFF-FFFF00000000}"/>
  </bookViews>
  <sheets>
    <sheet name="FU" sheetId="61" state="hidden" r:id="rId1"/>
    <sheet name="XML export" sheetId="62" state="hidden" r:id="rId2"/>
    <sheet name="UVOD" sheetId="79" r:id="rId3"/>
    <sheet name="XML_export" sheetId="76" r:id="rId4"/>
    <sheet name="Moje daně" sheetId="78" r:id="rId5"/>
    <sheet name="ZAKL_DATA" sheetId="57"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4Př" sheetId="74" r:id="rId16"/>
    <sheet name="3Př_a" sheetId="54" r:id="rId17"/>
    <sheet name="6Př" sheetId="53" r:id="rId18"/>
    <sheet name="Př_b" sheetId="55" r:id="rId19"/>
    <sheet name="Příl_děti" sheetId="75" r:id="rId20"/>
    <sheet name="Potvr_ZAM" sheetId="66" r:id="rId21"/>
    <sheet name="Prohl_manž" sheetId="67" r:id="rId22"/>
    <sheet name="SP1" sheetId="50" r:id="rId23"/>
    <sheet name="SP2" sheetId="51" r:id="rId24"/>
    <sheet name="SP_zam" sheetId="68" r:id="rId25"/>
    <sheet name="SP_stud" sheetId="69" r:id="rId26"/>
    <sheet name="SP_prijem" sheetId="70" r:id="rId27"/>
    <sheet name="VZP" sheetId="58" r:id="rId28"/>
    <sheet name="Ostatní ZP" sheetId="73" r:id="rId29"/>
    <sheet name="Zálohy" sheetId="22"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_FilterDatabase" localSheetId="29" hidden="1">Zálohy!$G$8:$G$51</definedName>
    <definedName name="fin_ur" localSheetId="4">[1]FU!$B$3:$B$17</definedName>
    <definedName name="fin_ur" localSheetId="20">[2]FU!$B$3:$B$17</definedName>
    <definedName name="fin_ur" localSheetId="21">[2]FU!$B$3:$B$17</definedName>
    <definedName name="fin_ur" localSheetId="19">[3]FU!$B$3:$B$17</definedName>
    <definedName name="fin_ur" localSheetId="26">[4]FU!$B$3:$B$17</definedName>
    <definedName name="fin_ur" localSheetId="2">[9]FU!$B$3:$B$17</definedName>
    <definedName name="fin_ur" localSheetId="3">[1]FU!$B$3:$B$17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8">'Ostatní ZP'!$A$1:$AR$61</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6">SP_prijem!$A$1:$I$53</definedName>
    <definedName name="_xlnm.Print_Area" localSheetId="25">SP_stud!$A$1:$AE$29</definedName>
    <definedName name="_xlnm.Print_Area" localSheetId="24">SP_zam!$A$1:$AE$30</definedName>
    <definedName name="_xlnm.Print_Area" localSheetId="22">'SP1'!$A$1:$AF$71</definedName>
    <definedName name="_xlnm.Print_Area" localSheetId="23">'SP2'!$A$1:$AO$59</definedName>
    <definedName name="_xlnm.Print_Area" localSheetId="2">UVOD!$A$1:$J$26</definedName>
    <definedName name="_xlnm.Print_Area" localSheetId="27">VZP!$A$1:$AR$61</definedName>
    <definedName name="_xlnm.Print_Area" localSheetId="3">XML_export!$A$1:$B$25</definedName>
    <definedName name="_xlnm.Print_Area" localSheetId="5">ZAKL_DATA!$A$1:$E$42</definedName>
    <definedName name="_xlnm.Print_Area" localSheetId="29">Zálohy!$A$1:$E$51</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6">[4]FU!$J$3:$J$253</definedName>
    <definedName name="staty" localSheetId="2">[9]FU!$J$3:$J$253</definedName>
    <definedName name="staty" localSheetId="3">[1]FU!$J$3:$J$253</definedName>
    <definedName name="staty">FU!$J$3:$J$253</definedName>
    <definedName name="validation_list">OFFSET('[5]Obory činnosti'!$E$2,,,COUNTIF('[5]Obory činnosti'!$E$2:$E$1750,"?*"))</definedName>
    <definedName name="validation_list2" localSheetId="4">OFFSET('[6]Finanční úřady'!$H$3,,,COUNTIF('[6]Finanční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6">OFFSET([4]FU!$H$3,,,COUNTIF([4]FU!$H$3:$H$204,"?*"))</definedName>
    <definedName name="validation_list2" localSheetId="2">OFFSET([9]FU!$H$3,,,COUNTIF([9]FU!$H$3:$H$204,"?*"))</definedName>
    <definedName name="validation_list2" localSheetId="3">OFFSET('[6]Finanční úřady'!$H$3,,,COUNTIF('[6]Finanční úřady'!$H$3:$H$204,"?*"))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6">OFFSET([4]FU!$Q$3,,,COUNTIF([4]FU!$Q$3:$Q$1699,"?*"))</definedName>
    <definedName name="vl_cinnosti" localSheetId="2">OFFSET([9]FU!$Q$3,,,COUNTIF([9]FU!$Q$3:$Q$1699,"?*"))</definedName>
    <definedName name="vl_cinnosti" localSheetId="3">OFFSET([1]FU!$Q$3,,,COUNTIF([1]FU!$Q$3:$Q$1699,"?*"))</definedName>
    <definedName name="vl_cinnosti">OFFSET(FU!$Q$3,,,COUNTIF(FU!$Q$3:$Q$1699,"?*"))</definedName>
    <definedName name="vl_cinnosti2" localSheetId="4">OFFSET([7]FU!$Q$3,,,COUNTIF([7]FU!$T$3:$T$992,"?*"))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6">OFFSET([4]FU!$Q$3,,,COUNTIF([4]FU!$T$3:$T$992,"?*"))</definedName>
    <definedName name="vl_cinnosti2" localSheetId="2">OFFSET([9]FU!$Q$3,,,COUNTIF([9]FU!$T$3:$T$992,"?*"))</definedName>
    <definedName name="vl_cinnosti2" localSheetId="3">OFFSET([7]FU!$Q$3,,,COUNTIF([7]FU!$T$3:$T$992,"?*"))</definedName>
    <definedName name="vl_cinnosti2">OFFSET(FU!$Q$3,,,COUNTIF(FU!$T$3:$T$992,"?*"))</definedName>
    <definedName name="vl_cinnosti3" localSheetId="4">OFFSET([7]FU!$Q$3,,,COUNTIF([7]FU!$W$3:$W$992,"?*"))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6">OFFSET([4]FU!$Q$3,,,COUNTIF([4]FU!$W$3:$W$992,"?*"))</definedName>
    <definedName name="vl_cinnosti3" localSheetId="2">OFFSET([9]FU!$Q$3,,,COUNTIF([9]FU!$W$3:$W$992,"?*"))</definedName>
    <definedName name="vl_cinnosti3" localSheetId="3">OFFSET([7]FU!$Q$3,,,COUNTIF([7]FU!$W$3:$W$992,"?*"))</definedName>
    <definedName name="vl_cinnosti3">OFFSET(FU!$Q$3,,,COUNTIF(FU!$W$3:$W$992,"?*"))</definedName>
    <definedName name="vl_cinnosti4" localSheetId="4">OFFSET([7]FU!$Q$3,,,COUNTIF([7]FU!$Z$3:$Z$992,"?*"))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6">OFFSET([4]FU!$Q$3,,,COUNTIF([4]FU!$Z$3:$Z$992,"?*"))</definedName>
    <definedName name="vl_cinnosti4" localSheetId="2">OFFSET([9]FU!$Q$3,,,COUNTIF([9]FU!$Z$3:$Z$992,"?*"))</definedName>
    <definedName name="vl_cinnosti4" localSheetId="3">OFFSET([7]FU!$Q$3,,,COUNTIF([7]FU!$Z$3:$Z$992,"?*"))</definedName>
    <definedName name="vl_cinnosti4">OFFSET(FU!$Q$3,,,COUNTIF(FU!$Z$3:$Z$992,"?*"))</definedName>
    <definedName name="VL_Obec" localSheetId="2">OFFSET([8]FU!$T$3,,,COUNTIF([8]FU!$T$3:$T$6255,"?*"))</definedName>
    <definedName name="VL_Obec">OFFSET([8]FU!$T$3,,,COUNTIF([8]FU!$T$3:$T$6255,"?*"))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30" l="1"/>
  <c r="K19" i="30"/>
  <c r="E19" i="30"/>
  <c r="A19" i="79"/>
  <c r="D9" i="51" l="1"/>
  <c r="H50" i="50" l="1"/>
  <c r="I44" i="73"/>
  <c r="I44" i="58"/>
  <c r="F43" i="66"/>
  <c r="E11" i="31"/>
  <c r="G12" i="35" l="1"/>
  <c r="H34" i="33"/>
  <c r="H33" i="33"/>
  <c r="H32" i="33"/>
  <c r="H30" i="33"/>
  <c r="F12" i="33"/>
  <c r="F13" i="74" l="1"/>
  <c r="F9" i="38"/>
  <c r="F8" i="38"/>
  <c r="BK30" i="73"/>
  <c r="BJ30" i="73"/>
  <c r="BI30" i="73"/>
  <c r="BH30" i="73"/>
  <c r="BG30" i="73"/>
  <c r="BF30" i="73"/>
  <c r="BE30" i="73"/>
  <c r="BD30" i="73"/>
  <c r="BC30" i="73"/>
  <c r="BB30" i="73"/>
  <c r="BA30" i="73"/>
  <c r="AZ30" i="73"/>
  <c r="AY30" i="73"/>
  <c r="BK30" i="58"/>
  <c r="BJ30" i="58"/>
  <c r="BI30" i="58"/>
  <c r="BH30" i="58"/>
  <c r="BG30" i="58"/>
  <c r="BF30" i="58"/>
  <c r="BE30" i="58"/>
  <c r="BD30" i="58"/>
  <c r="BC30" i="58"/>
  <c r="BB30" i="58"/>
  <c r="BA30" i="58"/>
  <c r="AZ30" i="58"/>
  <c r="AY30" i="58"/>
  <c r="BL30" i="73" l="1"/>
  <c r="N42" i="73" s="1"/>
  <c r="BL30" i="58"/>
  <c r="N42" i="58" s="1"/>
  <c r="AE22" i="50" l="1"/>
  <c r="AE20" i="50"/>
  <c r="P14" i="50" l="1"/>
  <c r="B41" i="62"/>
  <c r="B77" i="62"/>
  <c r="B61" i="62"/>
  <c r="B60" i="62"/>
  <c r="B59" i="62"/>
  <c r="B58" i="62"/>
  <c r="J54" i="62"/>
  <c r="J53" i="62"/>
  <c r="S2" i="62"/>
  <c r="N12" i="62"/>
  <c r="K13" i="75"/>
  <c r="K21" i="31" s="1"/>
  <c r="J13" i="75"/>
  <c r="J21" i="31" s="1"/>
  <c r="I13" i="75"/>
  <c r="H13" i="75"/>
  <c r="G13" i="75"/>
  <c r="F13" i="75"/>
  <c r="E3" i="31"/>
  <c r="A17" i="73"/>
  <c r="Y14" i="50"/>
  <c r="A17" i="58"/>
  <c r="N38" i="73"/>
  <c r="A61" i="58"/>
  <c r="N40" i="73" l="1"/>
  <c r="A71" i="50" l="1"/>
  <c r="C6" i="22"/>
  <c r="C3" i="22"/>
  <c r="A9" i="22" l="1"/>
  <c r="F18" i="66"/>
  <c r="A18" i="66"/>
  <c r="A14" i="22" l="1"/>
  <c r="A21" i="22" s="1"/>
  <c r="A11" i="22"/>
  <c r="E5" i="67"/>
  <c r="B5" i="67"/>
  <c r="A20" i="66"/>
  <c r="F20" i="74"/>
  <c r="F15" i="74"/>
  <c r="F14" i="74"/>
  <c r="F16" i="74" s="1"/>
  <c r="F17" i="74" s="1"/>
  <c r="A23" i="74"/>
  <c r="F21" i="74" l="1"/>
  <c r="A28" i="22"/>
  <c r="A35" i="22" s="1"/>
  <c r="A22" i="22"/>
  <c r="A23" i="22"/>
  <c r="A13" i="22"/>
  <c r="A12" i="22"/>
  <c r="A15" i="22"/>
  <c r="A16" i="22"/>
  <c r="M4" i="30"/>
  <c r="E4" i="30" s="1"/>
  <c r="AB39" i="51"/>
  <c r="D26" i="31" l="1"/>
  <c r="B80" i="62"/>
  <c r="A29" i="22"/>
  <c r="A30" i="22"/>
  <c r="A32" i="22" s="1"/>
  <c r="A18" i="22"/>
  <c r="A17" i="22"/>
  <c r="A25" i="22"/>
  <c r="A24" i="22"/>
  <c r="A36" i="22"/>
  <c r="A42" i="22"/>
  <c r="A43" i="22" s="1"/>
  <c r="A37" i="22"/>
  <c r="AH42" i="50"/>
  <c r="AH40" i="50"/>
  <c r="A31" i="22" l="1"/>
  <c r="A20" i="22"/>
  <c r="A19" i="22"/>
  <c r="A38" i="22"/>
  <c r="A39" i="22"/>
  <c r="A34" i="22"/>
  <c r="A33" i="22"/>
  <c r="A26" i="22"/>
  <c r="A27" i="22"/>
  <c r="AT42" i="50"/>
  <c r="AS42" i="50"/>
  <c r="AR42" i="50"/>
  <c r="AQ42" i="50"/>
  <c r="AP42" i="50"/>
  <c r="AO42" i="50"/>
  <c r="AN42" i="50"/>
  <c r="AM42" i="50"/>
  <c r="AL42" i="50"/>
  <c r="AK42" i="50"/>
  <c r="AJ42" i="50"/>
  <c r="AI42" i="50"/>
  <c r="AK40" i="50"/>
  <c r="AQ40" i="50"/>
  <c r="AT40" i="50"/>
  <c r="AS40" i="50"/>
  <c r="AR40" i="50"/>
  <c r="AP40" i="50"/>
  <c r="AO40" i="50"/>
  <c r="AN40" i="50"/>
  <c r="AM40" i="50"/>
  <c r="AL40" i="50"/>
  <c r="AJ40" i="50"/>
  <c r="AI40" i="50"/>
  <c r="A40" i="22" l="1"/>
  <c r="A41" i="22"/>
  <c r="AU42" i="50"/>
  <c r="U40" i="50" s="1"/>
  <c r="AU40" i="50"/>
  <c r="P40" i="50" s="1"/>
  <c r="A61" i="73"/>
  <c r="Q57" i="73"/>
  <c r="A19" i="73"/>
  <c r="AG17" i="73"/>
  <c r="AK15" i="73"/>
  <c r="H15" i="73"/>
  <c r="A15" i="73"/>
  <c r="Y13" i="73"/>
  <c r="A13" i="73"/>
  <c r="AN11" i="73"/>
  <c r="Y11" i="73"/>
  <c r="A11" i="73"/>
  <c r="U42" i="50" l="1"/>
  <c r="P50" i="50" s="1"/>
  <c r="P42" i="50"/>
  <c r="A12" i="50"/>
  <c r="R13" i="69" l="1"/>
  <c r="R14" i="68"/>
  <c r="Q10" i="50"/>
  <c r="K14" i="68" l="1"/>
  <c r="K13" i="69"/>
  <c r="C60" i="32"/>
  <c r="A39" i="51" l="1"/>
  <c r="M41" i="51" l="1"/>
  <c r="AB41" i="51"/>
  <c r="AG41" i="51"/>
  <c r="A41" i="51"/>
  <c r="R41" i="51"/>
  <c r="M39" i="51"/>
  <c r="H18" i="51" l="1"/>
  <c r="E4" i="31" l="1"/>
  <c r="J78" i="62" l="1"/>
  <c r="N59" i="62"/>
  <c r="L27" i="30" l="1"/>
  <c r="L25" i="30"/>
  <c r="L24" i="30"/>
  <c r="L23" i="30"/>
  <c r="D12" i="70" l="1"/>
  <c r="C8" i="70"/>
  <c r="B20" i="70"/>
  <c r="U6" i="50" l="1"/>
  <c r="A6" i="50"/>
  <c r="M7" i="30" l="1"/>
  <c r="D46" i="31" s="1"/>
  <c r="B43" i="62" s="1"/>
  <c r="M6" i="30"/>
  <c r="D43" i="31" s="1"/>
  <c r="M5" i="30"/>
  <c r="D40" i="31" s="1"/>
  <c r="E7" i="30" l="1"/>
  <c r="H27" i="35"/>
  <c r="H26" i="35"/>
  <c r="H25" i="35"/>
  <c r="H24" i="35"/>
  <c r="H28" i="35" l="1"/>
  <c r="L26" i="30"/>
  <c r="A15" i="70"/>
  <c r="M18" i="51" l="1"/>
  <c r="N38" i="62" l="1"/>
  <c r="C17" i="67" l="1"/>
  <c r="C16" i="67"/>
  <c r="C15" i="67"/>
  <c r="B17" i="67"/>
  <c r="B16" i="67"/>
  <c r="B15" i="67"/>
  <c r="B30" i="66"/>
  <c r="AQ236" i="62" l="1"/>
  <c r="AQ237" i="62"/>
  <c r="AQ238" i="62"/>
  <c r="AQ239" i="62"/>
  <c r="AQ240" i="62"/>
  <c r="AQ241" i="62"/>
  <c r="AQ242" i="62"/>
  <c r="AQ243" i="62"/>
  <c r="AB178" i="62" l="1"/>
  <c r="AQ178" i="62"/>
  <c r="AB179" i="62"/>
  <c r="AB180" i="62"/>
  <c r="AB181" i="62"/>
  <c r="AB182" i="62"/>
  <c r="AB183" i="62"/>
  <c r="AB184" i="62"/>
  <c r="AB185" i="62"/>
  <c r="AB186" i="62"/>
  <c r="AB187" i="62"/>
  <c r="AB188" i="62"/>
  <c r="AB189" i="62"/>
  <c r="AB190" i="62"/>
  <c r="AB191" i="62"/>
  <c r="AB192" i="62"/>
  <c r="AB193" i="62"/>
  <c r="AB194" i="62"/>
  <c r="AB195" i="62"/>
  <c r="AB196" i="62"/>
  <c r="AB197" i="62"/>
  <c r="AB198" i="62"/>
  <c r="AB199" i="62"/>
  <c r="AB200" i="62"/>
  <c r="AB201" i="62"/>
  <c r="AB202" i="62"/>
  <c r="AB203" i="62"/>
  <c r="AB204" i="62"/>
  <c r="AB205" i="62"/>
  <c r="AB206" i="62"/>
  <c r="AB207" i="62"/>
  <c r="AB208" i="62"/>
  <c r="AB209" i="62"/>
  <c r="AB210" i="62"/>
  <c r="AB211" i="62"/>
  <c r="AB212" i="62"/>
  <c r="AB213" i="62"/>
  <c r="AB214" i="62"/>
  <c r="AB215" i="62"/>
  <c r="AB216" i="62"/>
  <c r="AB217" i="62"/>
  <c r="AB218" i="62"/>
  <c r="AB219" i="62"/>
  <c r="AB220" i="62"/>
  <c r="AB221" i="62"/>
  <c r="AB222" i="62"/>
  <c r="AB223" i="62"/>
  <c r="AB224" i="62"/>
  <c r="AB225" i="62"/>
  <c r="AB226" i="62"/>
  <c r="AB227" i="62"/>
  <c r="AB228" i="62"/>
  <c r="AB229" i="62"/>
  <c r="AB230" i="62"/>
  <c r="AB231" i="62"/>
  <c r="AB232" i="62"/>
  <c r="AB233" i="62"/>
  <c r="AQ179" i="62"/>
  <c r="AQ180" i="62"/>
  <c r="AQ181" i="62"/>
  <c r="AQ182" i="62"/>
  <c r="AQ183" i="62"/>
  <c r="AQ184" i="62"/>
  <c r="AQ185" i="62"/>
  <c r="AQ186" i="62"/>
  <c r="AQ187" i="62"/>
  <c r="AQ188" i="62"/>
  <c r="AQ189" i="62"/>
  <c r="AQ190" i="62"/>
  <c r="AQ191" i="62"/>
  <c r="AQ192" i="62"/>
  <c r="AQ193" i="62"/>
  <c r="AQ194" i="62"/>
  <c r="AQ195" i="62"/>
  <c r="AQ196" i="62"/>
  <c r="AQ197" i="62"/>
  <c r="AQ198" i="62"/>
  <c r="AQ199" i="62"/>
  <c r="AQ200" i="62"/>
  <c r="AQ201" i="62"/>
  <c r="AQ202" i="62"/>
  <c r="AQ203" i="62"/>
  <c r="AQ204" i="62"/>
  <c r="AQ205" i="62"/>
  <c r="AQ206" i="62"/>
  <c r="AQ207" i="62"/>
  <c r="AQ208" i="62"/>
  <c r="AQ209" i="62"/>
  <c r="AQ210" i="62"/>
  <c r="AQ211" i="62"/>
  <c r="AQ212" i="62"/>
  <c r="AQ213" i="62"/>
  <c r="AQ214" i="62"/>
  <c r="AQ215" i="62"/>
  <c r="AQ216" i="62"/>
  <c r="AQ217" i="62"/>
  <c r="AQ218" i="62"/>
  <c r="AQ219" i="62"/>
  <c r="AQ220" i="62"/>
  <c r="AQ221" i="62"/>
  <c r="AQ222" i="62"/>
  <c r="AQ223" i="62"/>
  <c r="AQ224" i="62"/>
  <c r="AQ225" i="62"/>
  <c r="AQ226" i="62"/>
  <c r="AQ227" i="62"/>
  <c r="AQ228" i="62"/>
  <c r="AQ229" i="62"/>
  <c r="AQ230" i="62"/>
  <c r="AQ231" i="62"/>
  <c r="AQ232" i="62"/>
  <c r="AQ233" i="62"/>
  <c r="AQ234" i="62"/>
  <c r="AQ235" i="62"/>
  <c r="B38" i="62"/>
  <c r="B79" i="62"/>
  <c r="R244" i="62"/>
  <c r="R245" i="62"/>
  <c r="R246" i="62"/>
  <c r="R247" i="62"/>
  <c r="R248" i="62"/>
  <c r="R249" i="62"/>
  <c r="R250" i="62"/>
  <c r="R251" i="62"/>
  <c r="R252" i="62"/>
  <c r="R253" i="62"/>
  <c r="R254" i="62"/>
  <c r="AD233" i="62" l="1"/>
  <c r="AT243" i="62"/>
  <c r="AT241" i="62"/>
  <c r="AT239" i="62"/>
  <c r="AT237" i="62"/>
  <c r="AT235" i="62"/>
  <c r="AT233" i="62"/>
  <c r="AT231" i="62"/>
  <c r="AT229" i="62"/>
  <c r="AT227" i="62"/>
  <c r="AT225" i="62"/>
  <c r="AT223" i="62"/>
  <c r="AT221" i="62"/>
  <c r="AT219" i="62"/>
  <c r="AT217" i="62"/>
  <c r="AT215" i="62"/>
  <c r="AT213" i="62"/>
  <c r="AT211" i="62"/>
  <c r="AT209" i="62"/>
  <c r="AT207" i="62"/>
  <c r="AT205" i="62"/>
  <c r="AT203" i="62"/>
  <c r="AT201" i="62"/>
  <c r="AT199" i="62"/>
  <c r="AT197" i="62"/>
  <c r="AT195" i="62"/>
  <c r="AT193" i="62"/>
  <c r="AT191" i="62"/>
  <c r="AT189" i="62"/>
  <c r="AT187" i="62"/>
  <c r="AT185" i="62"/>
  <c r="AT183" i="62"/>
  <c r="AT181" i="62"/>
  <c r="AT179" i="62"/>
  <c r="AR243" i="62"/>
  <c r="AR239" i="62"/>
  <c r="AR235" i="62"/>
  <c r="AR231" i="62"/>
  <c r="AR227" i="62"/>
  <c r="AR223" i="62"/>
  <c r="AR219" i="62"/>
  <c r="AR215" i="62"/>
  <c r="AR211" i="62"/>
  <c r="AR207" i="62"/>
  <c r="AR203" i="62"/>
  <c r="AR199" i="62"/>
  <c r="AR195" i="62"/>
  <c r="AR191" i="62"/>
  <c r="AR187" i="62"/>
  <c r="AR183" i="62"/>
  <c r="AR179" i="62"/>
  <c r="AS242" i="62"/>
  <c r="AS234" i="62"/>
  <c r="AS230" i="62"/>
  <c r="AS224" i="62"/>
  <c r="AS214" i="62"/>
  <c r="AS208" i="62"/>
  <c r="AS204" i="62"/>
  <c r="AS200" i="62"/>
  <c r="AS194" i="62"/>
  <c r="AS188" i="62"/>
  <c r="AS184" i="62"/>
  <c r="AT178" i="62"/>
  <c r="AR228" i="62"/>
  <c r="AR220" i="62"/>
  <c r="AR208" i="62"/>
  <c r="AR200" i="62"/>
  <c r="AR188" i="62"/>
  <c r="AS243" i="62"/>
  <c r="AS241" i="62"/>
  <c r="AS239" i="62"/>
  <c r="AS237" i="62"/>
  <c r="AS235" i="62"/>
  <c r="AS233" i="62"/>
  <c r="AS231" i="62"/>
  <c r="AS229" i="62"/>
  <c r="AS227" i="62"/>
  <c r="AS225" i="62"/>
  <c r="AS223" i="62"/>
  <c r="AS221" i="62"/>
  <c r="AS219" i="62"/>
  <c r="AS217" i="62"/>
  <c r="AS215" i="62"/>
  <c r="AS213" i="62"/>
  <c r="AS211" i="62"/>
  <c r="AS209" i="62"/>
  <c r="AS207" i="62"/>
  <c r="AS205" i="62"/>
  <c r="AS203" i="62"/>
  <c r="AS201" i="62"/>
  <c r="AS199" i="62"/>
  <c r="AS197" i="62"/>
  <c r="AS195" i="62"/>
  <c r="AS193" i="62"/>
  <c r="AS191" i="62"/>
  <c r="AS189" i="62"/>
  <c r="AS187" i="62"/>
  <c r="AS185" i="62"/>
  <c r="AS183" i="62"/>
  <c r="AS181" i="62"/>
  <c r="AS179" i="62"/>
  <c r="AR242" i="62"/>
  <c r="AR238" i="62"/>
  <c r="AR234" i="62"/>
  <c r="AR230" i="62"/>
  <c r="AR226" i="62"/>
  <c r="AR222" i="62"/>
  <c r="AR218" i="62"/>
  <c r="AR214" i="62"/>
  <c r="AR210" i="62"/>
  <c r="AR206" i="62"/>
  <c r="AR202" i="62"/>
  <c r="AR198" i="62"/>
  <c r="AR194" i="62"/>
  <c r="AR190" i="62"/>
  <c r="AR186" i="62"/>
  <c r="AR182" i="62"/>
  <c r="AR178" i="62"/>
  <c r="AS240" i="62"/>
  <c r="AS236" i="62"/>
  <c r="AS228" i="62"/>
  <c r="AS222" i="62"/>
  <c r="AS216" i="62"/>
  <c r="AS210" i="62"/>
  <c r="AS202" i="62"/>
  <c r="AS196" i="62"/>
  <c r="AS190" i="62"/>
  <c r="AS182" i="62"/>
  <c r="AR240" i="62"/>
  <c r="AR232" i="62"/>
  <c r="AR216" i="62"/>
  <c r="AR204" i="62"/>
  <c r="AR192" i="62"/>
  <c r="AR180" i="62"/>
  <c r="AT242" i="62"/>
  <c r="AT240" i="62"/>
  <c r="AT238" i="62"/>
  <c r="AT236" i="62"/>
  <c r="AT234" i="62"/>
  <c r="AT232" i="62"/>
  <c r="AT230" i="62"/>
  <c r="AT228" i="62"/>
  <c r="AT226" i="62"/>
  <c r="AT224" i="62"/>
  <c r="AT222" i="62"/>
  <c r="AT220" i="62"/>
  <c r="AT218" i="62"/>
  <c r="AT216" i="62"/>
  <c r="AT214" i="62"/>
  <c r="AT212" i="62"/>
  <c r="AT210" i="62"/>
  <c r="AT208" i="62"/>
  <c r="AT206" i="62"/>
  <c r="AT204" i="62"/>
  <c r="AT202" i="62"/>
  <c r="AT200" i="62"/>
  <c r="AT198" i="62"/>
  <c r="AT196" i="62"/>
  <c r="AT194" i="62"/>
  <c r="AT192" i="62"/>
  <c r="AT190" i="62"/>
  <c r="AT188" i="62"/>
  <c r="AT186" i="62"/>
  <c r="AT184" i="62"/>
  <c r="AT182" i="62"/>
  <c r="AT180" i="62"/>
  <c r="AS178" i="62"/>
  <c r="AR241" i="62"/>
  <c r="AR237" i="62"/>
  <c r="AR233" i="62"/>
  <c r="AR229" i="62"/>
  <c r="AR225" i="62"/>
  <c r="AR221" i="62"/>
  <c r="AR217" i="62"/>
  <c r="AR213" i="62"/>
  <c r="AR209" i="62"/>
  <c r="AR205" i="62"/>
  <c r="AR201" i="62"/>
  <c r="AR197" i="62"/>
  <c r="AR193" i="62"/>
  <c r="AR189" i="62"/>
  <c r="AR185" i="62"/>
  <c r="AR181" i="62"/>
  <c r="AS238" i="62"/>
  <c r="AS232" i="62"/>
  <c r="AS226" i="62"/>
  <c r="AS220" i="62"/>
  <c r="AS218" i="62"/>
  <c r="AS212" i="62"/>
  <c r="AS206" i="62"/>
  <c r="AS198" i="62"/>
  <c r="AS192" i="62"/>
  <c r="AS186" i="62"/>
  <c r="AS180" i="62"/>
  <c r="AR236" i="62"/>
  <c r="AR224" i="62"/>
  <c r="AR212" i="62"/>
  <c r="AR196" i="62"/>
  <c r="AR184" i="62"/>
  <c r="AD178" i="62"/>
  <c r="AD182" i="62"/>
  <c r="AD184" i="62"/>
  <c r="AD188" i="62"/>
  <c r="AD192" i="62"/>
  <c r="AD196" i="62"/>
  <c r="AD200" i="62"/>
  <c r="AD202" i="62"/>
  <c r="AD204" i="62"/>
  <c r="AD206" i="62"/>
  <c r="AD208" i="62"/>
  <c r="AD212" i="62"/>
  <c r="AD214" i="62"/>
  <c r="AD216" i="62"/>
  <c r="AD218" i="62"/>
  <c r="AD220" i="62"/>
  <c r="AD222" i="62"/>
  <c r="AD224" i="62"/>
  <c r="AD226" i="62"/>
  <c r="AD228" i="62"/>
  <c r="AD230" i="62"/>
  <c r="AD232" i="62"/>
  <c r="AE178" i="62"/>
  <c r="AE180" i="62"/>
  <c r="AE182" i="62"/>
  <c r="AE184" i="62"/>
  <c r="AE186" i="62"/>
  <c r="AE188" i="62"/>
  <c r="AE190" i="62"/>
  <c r="AE192" i="62"/>
  <c r="AE194" i="62"/>
  <c r="AE196" i="62"/>
  <c r="AE198" i="62"/>
  <c r="AE200" i="62"/>
  <c r="AE202" i="62"/>
  <c r="AE204" i="62"/>
  <c r="AE206" i="62"/>
  <c r="AE208" i="62"/>
  <c r="AE210" i="62"/>
  <c r="AE212" i="62"/>
  <c r="AE214" i="62"/>
  <c r="AE216" i="62"/>
  <c r="AE218" i="62"/>
  <c r="AE220" i="62"/>
  <c r="AE222" i="62"/>
  <c r="AE224" i="62"/>
  <c r="AE226" i="62"/>
  <c r="AE228" i="62"/>
  <c r="AE230" i="62"/>
  <c r="AE232" i="62"/>
  <c r="AD180" i="62"/>
  <c r="AD186" i="62"/>
  <c r="AD190" i="62"/>
  <c r="AD194" i="62"/>
  <c r="AD198" i="62"/>
  <c r="AD210" i="62"/>
  <c r="AD179" i="62"/>
  <c r="AD181" i="62"/>
  <c r="AD183" i="62"/>
  <c r="AD185" i="62"/>
  <c r="AD187" i="62"/>
  <c r="AD189" i="62"/>
  <c r="AD191" i="62"/>
  <c r="AD193" i="62"/>
  <c r="AD195" i="62"/>
  <c r="AD197" i="62"/>
  <c r="AD199" i="62"/>
  <c r="AD201" i="62"/>
  <c r="AD203" i="62"/>
  <c r="AD205" i="62"/>
  <c r="AD207" i="62"/>
  <c r="AD209" i="62"/>
  <c r="AD211" i="62"/>
  <c r="AD213" i="62"/>
  <c r="AD215" i="62"/>
  <c r="AD217" i="62"/>
  <c r="AD219" i="62"/>
  <c r="AD221" i="62"/>
  <c r="AD223" i="62"/>
  <c r="AD225" i="62"/>
  <c r="AD227" i="62"/>
  <c r="AD229" i="62"/>
  <c r="AD231" i="62"/>
  <c r="S178" i="62"/>
  <c r="AC178" i="62"/>
  <c r="AC230" i="62"/>
  <c r="AC226" i="62"/>
  <c r="AC222" i="62"/>
  <c r="AC218" i="62"/>
  <c r="AC214" i="62"/>
  <c r="AC210" i="62"/>
  <c r="AC206" i="62"/>
  <c r="AC202" i="62"/>
  <c r="AC198" i="62"/>
  <c r="AC194" i="62"/>
  <c r="AC190" i="62"/>
  <c r="AC186" i="62"/>
  <c r="AC182" i="62"/>
  <c r="AC233" i="62"/>
  <c r="AC229" i="62"/>
  <c r="AC225" i="62"/>
  <c r="AC221" i="62"/>
  <c r="AC217" i="62"/>
  <c r="AC213" i="62"/>
  <c r="AC209" i="62"/>
  <c r="AC205" i="62"/>
  <c r="AC201" i="62"/>
  <c r="AC197" i="62"/>
  <c r="AC193" i="62"/>
  <c r="AC189" i="62"/>
  <c r="AC185" i="62"/>
  <c r="AC181" i="62"/>
  <c r="AC232" i="62"/>
  <c r="AC228" i="62"/>
  <c r="AC224" i="62"/>
  <c r="AC220" i="62"/>
  <c r="AC216" i="62"/>
  <c r="AC212" i="62"/>
  <c r="AC208" i="62"/>
  <c r="AC204" i="62"/>
  <c r="AC200" i="62"/>
  <c r="AC196" i="62"/>
  <c r="AC192" i="62"/>
  <c r="AC188" i="62"/>
  <c r="AC184" i="62"/>
  <c r="AC180" i="62"/>
  <c r="AC231" i="62"/>
  <c r="AC227" i="62"/>
  <c r="AC223" i="62"/>
  <c r="AC219" i="62"/>
  <c r="AC215" i="62"/>
  <c r="AC211" i="62"/>
  <c r="AC207" i="62"/>
  <c r="AC203" i="62"/>
  <c r="AC199" i="62"/>
  <c r="AC195" i="62"/>
  <c r="AC191" i="62"/>
  <c r="AC187" i="62"/>
  <c r="AC183" i="62"/>
  <c r="AC179" i="62"/>
  <c r="AE179" i="62"/>
  <c r="AE181" i="62"/>
  <c r="AE183" i="62"/>
  <c r="AE185" i="62"/>
  <c r="AE187" i="62"/>
  <c r="AE189" i="62"/>
  <c r="AE191" i="62"/>
  <c r="AE193" i="62"/>
  <c r="AE195" i="62"/>
  <c r="AE197" i="62"/>
  <c r="AE199" i="62"/>
  <c r="AE201" i="62"/>
  <c r="AE203" i="62"/>
  <c r="AE205" i="62"/>
  <c r="AE207" i="62"/>
  <c r="AE209" i="62"/>
  <c r="AE211" i="62"/>
  <c r="AE213" i="62"/>
  <c r="AE215" i="62"/>
  <c r="AE217" i="62"/>
  <c r="AE219" i="62"/>
  <c r="AE221" i="62"/>
  <c r="AE223" i="62"/>
  <c r="AE225" i="62"/>
  <c r="AE227" i="62"/>
  <c r="AE229" i="62"/>
  <c r="AE231" i="62"/>
  <c r="AE233" i="62"/>
  <c r="T178" i="62"/>
  <c r="T179" i="62"/>
  <c r="T180" i="62"/>
  <c r="T181" i="62"/>
  <c r="T182" i="62"/>
  <c r="T183" i="62"/>
  <c r="T184" i="62"/>
  <c r="T185" i="62"/>
  <c r="T186" i="62"/>
  <c r="T187" i="62"/>
  <c r="T188" i="62"/>
  <c r="T189" i="62"/>
  <c r="T190" i="62"/>
  <c r="T191" i="62"/>
  <c r="T192" i="62"/>
  <c r="T193" i="62"/>
  <c r="T194" i="62"/>
  <c r="T195" i="62"/>
  <c r="T196" i="62"/>
  <c r="T197" i="62"/>
  <c r="T198" i="62"/>
  <c r="T199" i="62"/>
  <c r="T200" i="62"/>
  <c r="T201" i="62"/>
  <c r="T202" i="62"/>
  <c r="T203" i="62"/>
  <c r="T204" i="62"/>
  <c r="T205" i="62"/>
  <c r="T206" i="62"/>
  <c r="T207" i="62"/>
  <c r="T208" i="62"/>
  <c r="T209" i="62"/>
  <c r="T210" i="62"/>
  <c r="T211" i="62"/>
  <c r="T212" i="62"/>
  <c r="T213" i="62"/>
  <c r="T214" i="62"/>
  <c r="T215" i="62"/>
  <c r="T216" i="62"/>
  <c r="T217" i="62"/>
  <c r="T218" i="62"/>
  <c r="T219" i="62"/>
  <c r="T220" i="62"/>
  <c r="T221" i="62"/>
  <c r="T222" i="62"/>
  <c r="T223" i="62"/>
  <c r="T224" i="62"/>
  <c r="T225" i="62"/>
  <c r="T226" i="62"/>
  <c r="T227" i="62"/>
  <c r="T228" i="62"/>
  <c r="T229" i="62"/>
  <c r="T230" i="62"/>
  <c r="T231" i="62"/>
  <c r="T232" i="62"/>
  <c r="T233" i="62"/>
  <c r="T234" i="62"/>
  <c r="T235" i="62"/>
  <c r="T236" i="62"/>
  <c r="T237" i="62"/>
  <c r="T238" i="62"/>
  <c r="T239" i="62"/>
  <c r="T240" i="62"/>
  <c r="T241" i="62"/>
  <c r="T242" i="62"/>
  <c r="T243" i="62"/>
  <c r="T244" i="62"/>
  <c r="T245" i="62"/>
  <c r="T246" i="62"/>
  <c r="T247" i="62"/>
  <c r="T248" i="62"/>
  <c r="T249" i="62"/>
  <c r="T250" i="62"/>
  <c r="T251" i="62"/>
  <c r="T252" i="62"/>
  <c r="T253" i="62"/>
  <c r="T254" i="62"/>
  <c r="U178" i="62"/>
  <c r="U179" i="62"/>
  <c r="U180" i="62"/>
  <c r="U181" i="62"/>
  <c r="U182" i="62"/>
  <c r="U183" i="62"/>
  <c r="U184" i="62"/>
  <c r="U185" i="62"/>
  <c r="U186" i="62"/>
  <c r="U187" i="62"/>
  <c r="U188" i="62"/>
  <c r="U189" i="62"/>
  <c r="U190" i="62"/>
  <c r="U191" i="62"/>
  <c r="U192" i="62"/>
  <c r="U193" i="62"/>
  <c r="U194" i="62"/>
  <c r="U195" i="62"/>
  <c r="U196" i="62"/>
  <c r="U197" i="62"/>
  <c r="U198" i="62"/>
  <c r="U199" i="62"/>
  <c r="U200" i="62"/>
  <c r="U201" i="62"/>
  <c r="U202" i="62"/>
  <c r="U203" i="62"/>
  <c r="U204" i="62"/>
  <c r="U205" i="62"/>
  <c r="U206" i="62"/>
  <c r="U207" i="62"/>
  <c r="U208" i="62"/>
  <c r="U209" i="62"/>
  <c r="U210" i="62"/>
  <c r="U211" i="62"/>
  <c r="U212" i="62"/>
  <c r="U213" i="62"/>
  <c r="U214" i="62"/>
  <c r="U215" i="62"/>
  <c r="U216" i="62"/>
  <c r="U217" i="62"/>
  <c r="U218" i="62"/>
  <c r="U219" i="62"/>
  <c r="U220" i="62"/>
  <c r="U221" i="62"/>
  <c r="U222" i="62"/>
  <c r="U223" i="62"/>
  <c r="U224" i="62"/>
  <c r="U225" i="62"/>
  <c r="U226" i="62"/>
  <c r="U227" i="62"/>
  <c r="U228" i="62"/>
  <c r="U229" i="62"/>
  <c r="U230" i="62"/>
  <c r="U231" i="62"/>
  <c r="U232" i="62"/>
  <c r="U233" i="62"/>
  <c r="U234" i="62"/>
  <c r="U235" i="62"/>
  <c r="U236" i="62"/>
  <c r="U237" i="62"/>
  <c r="U238" i="62"/>
  <c r="U239" i="62"/>
  <c r="U240" i="62"/>
  <c r="U241" i="62"/>
  <c r="U242" i="62"/>
  <c r="U243" i="62"/>
  <c r="U244" i="62"/>
  <c r="U245" i="62"/>
  <c r="U246" i="62"/>
  <c r="U247" i="62"/>
  <c r="U248" i="62"/>
  <c r="U249" i="62"/>
  <c r="U250" i="62"/>
  <c r="U251" i="62"/>
  <c r="U252" i="62"/>
  <c r="U253" i="62"/>
  <c r="U254" i="62"/>
  <c r="V178" i="62"/>
  <c r="V179" i="62"/>
  <c r="V180" i="62"/>
  <c r="V181" i="62"/>
  <c r="V182" i="62"/>
  <c r="V183" i="62"/>
  <c r="V184" i="62"/>
  <c r="V185" i="62"/>
  <c r="V186" i="62"/>
  <c r="V187" i="62"/>
  <c r="V188" i="62"/>
  <c r="V189" i="62"/>
  <c r="V190" i="62"/>
  <c r="V191" i="62"/>
  <c r="V192" i="62"/>
  <c r="V193" i="62"/>
  <c r="V194" i="62"/>
  <c r="V195" i="62"/>
  <c r="V196" i="62"/>
  <c r="V197" i="62"/>
  <c r="V198" i="62"/>
  <c r="V199" i="62"/>
  <c r="V200" i="62"/>
  <c r="V201" i="62"/>
  <c r="V202" i="62"/>
  <c r="V203" i="62"/>
  <c r="V204" i="62"/>
  <c r="V205" i="62"/>
  <c r="V206" i="62"/>
  <c r="V207" i="62"/>
  <c r="V208" i="62"/>
  <c r="V209" i="62"/>
  <c r="V210" i="62"/>
  <c r="V211" i="62"/>
  <c r="V212" i="62"/>
  <c r="V213" i="62"/>
  <c r="V214" i="62"/>
  <c r="V215" i="62"/>
  <c r="V216" i="62"/>
  <c r="V217" i="62"/>
  <c r="V218" i="62"/>
  <c r="V219" i="62"/>
  <c r="V220" i="62"/>
  <c r="V221" i="62"/>
  <c r="V222" i="62"/>
  <c r="V223" i="62"/>
  <c r="V224" i="62"/>
  <c r="V225" i="62"/>
  <c r="V226" i="62"/>
  <c r="V227" i="62"/>
  <c r="V228" i="62"/>
  <c r="V229" i="62"/>
  <c r="V230" i="62"/>
  <c r="V231" i="62"/>
  <c r="V232" i="62"/>
  <c r="V233" i="62"/>
  <c r="V234" i="62"/>
  <c r="V235" i="62"/>
  <c r="V236" i="62"/>
  <c r="V237" i="62"/>
  <c r="V238" i="62"/>
  <c r="V239" i="62"/>
  <c r="V240" i="62"/>
  <c r="V241" i="62"/>
  <c r="V242" i="62"/>
  <c r="V243" i="62"/>
  <c r="V244" i="62"/>
  <c r="V245" i="62"/>
  <c r="V246" i="62"/>
  <c r="V247" i="62"/>
  <c r="V248" i="62"/>
  <c r="V249" i="62"/>
  <c r="V250" i="62"/>
  <c r="V251" i="62"/>
  <c r="V252" i="62"/>
  <c r="V253" i="62"/>
  <c r="V254" i="62"/>
  <c r="W178" i="62"/>
  <c r="W179" i="62"/>
  <c r="W180" i="62"/>
  <c r="W181" i="62"/>
  <c r="W182" i="62"/>
  <c r="W183" i="62"/>
  <c r="W184" i="62"/>
  <c r="W185" i="62"/>
  <c r="W186" i="62"/>
  <c r="W187" i="62"/>
  <c r="W188" i="62"/>
  <c r="W189" i="62"/>
  <c r="W190" i="62"/>
  <c r="W191" i="62"/>
  <c r="W192" i="62"/>
  <c r="W193" i="62"/>
  <c r="W194" i="62"/>
  <c r="W195" i="62"/>
  <c r="W196" i="62"/>
  <c r="W197" i="62"/>
  <c r="W198" i="62"/>
  <c r="W199" i="62"/>
  <c r="W200" i="62"/>
  <c r="W201" i="62"/>
  <c r="W202" i="62"/>
  <c r="W203" i="62"/>
  <c r="W204" i="62"/>
  <c r="W205" i="62"/>
  <c r="W206" i="62"/>
  <c r="W207" i="62"/>
  <c r="W208" i="62"/>
  <c r="W209" i="62"/>
  <c r="W210" i="62"/>
  <c r="W211" i="62"/>
  <c r="W212" i="62"/>
  <c r="W213" i="62"/>
  <c r="W214" i="62"/>
  <c r="W215" i="62"/>
  <c r="W216" i="62"/>
  <c r="W217" i="62"/>
  <c r="W218" i="62"/>
  <c r="W219" i="62"/>
  <c r="W220" i="62"/>
  <c r="W221" i="62"/>
  <c r="W222" i="62"/>
  <c r="W223" i="62"/>
  <c r="W224" i="62"/>
  <c r="W225" i="62"/>
  <c r="W226" i="62"/>
  <c r="W227" i="62"/>
  <c r="W228" i="62"/>
  <c r="W229" i="62"/>
  <c r="W230" i="62"/>
  <c r="W231" i="62"/>
  <c r="W232" i="62"/>
  <c r="W233" i="62"/>
  <c r="W234" i="62"/>
  <c r="W235" i="62"/>
  <c r="W236" i="62"/>
  <c r="W237" i="62"/>
  <c r="W238" i="62"/>
  <c r="W239" i="62"/>
  <c r="W240" i="62"/>
  <c r="W241" i="62"/>
  <c r="W242" i="62"/>
  <c r="W243" i="62"/>
  <c r="W244" i="62"/>
  <c r="W245" i="62"/>
  <c r="W246" i="62"/>
  <c r="W247" i="62"/>
  <c r="W248" i="62"/>
  <c r="W249" i="62"/>
  <c r="W250" i="62"/>
  <c r="W251" i="62"/>
  <c r="W252" i="62"/>
  <c r="W253" i="62"/>
  <c r="W254" i="62"/>
  <c r="S249" i="62"/>
  <c r="S241" i="62"/>
  <c r="S233" i="62"/>
  <c r="S225" i="62"/>
  <c r="S217" i="62"/>
  <c r="S209" i="62"/>
  <c r="S201" i="62"/>
  <c r="S193" i="62"/>
  <c r="S181" i="62"/>
  <c r="S252" i="62"/>
  <c r="S248" i="62"/>
  <c r="S244" i="62"/>
  <c r="S240" i="62"/>
  <c r="S236" i="62"/>
  <c r="S232" i="62"/>
  <c r="S228" i="62"/>
  <c r="S224" i="62"/>
  <c r="S220" i="62"/>
  <c r="S216" i="62"/>
  <c r="S212" i="62"/>
  <c r="S208" i="62"/>
  <c r="S204" i="62"/>
  <c r="S200" i="62"/>
  <c r="S196" i="62"/>
  <c r="S192" i="62"/>
  <c r="S188" i="62"/>
  <c r="S184" i="62"/>
  <c r="S180" i="62"/>
  <c r="S189" i="62"/>
  <c r="S251" i="62"/>
  <c r="S247" i="62"/>
  <c r="S243" i="62"/>
  <c r="S239" i="62"/>
  <c r="S235" i="62"/>
  <c r="S231" i="62"/>
  <c r="S227" i="62"/>
  <c r="S223" i="62"/>
  <c r="S219" i="62"/>
  <c r="S215" i="62"/>
  <c r="S211" i="62"/>
  <c r="S207" i="62"/>
  <c r="S203" i="62"/>
  <c r="S199" i="62"/>
  <c r="S195" i="62"/>
  <c r="S191" i="62"/>
  <c r="S187" i="62"/>
  <c r="S183" i="62"/>
  <c r="S179" i="62"/>
  <c r="S253" i="62"/>
  <c r="S245" i="62"/>
  <c r="S237" i="62"/>
  <c r="S229" i="62"/>
  <c r="S221" i="62"/>
  <c r="S213" i="62"/>
  <c r="S205" i="62"/>
  <c r="S197" i="62"/>
  <c r="S185" i="62"/>
  <c r="S254" i="62"/>
  <c r="S250" i="62"/>
  <c r="S246" i="62"/>
  <c r="S242" i="62"/>
  <c r="S238" i="62"/>
  <c r="S234" i="62"/>
  <c r="S230" i="62"/>
  <c r="S226" i="62"/>
  <c r="S222" i="62"/>
  <c r="S218" i="62"/>
  <c r="S214" i="62"/>
  <c r="S210" i="62"/>
  <c r="S206" i="62"/>
  <c r="S202" i="62"/>
  <c r="S198" i="62"/>
  <c r="S194" i="62"/>
  <c r="S190" i="62"/>
  <c r="S186" i="62"/>
  <c r="S182" i="62"/>
  <c r="W2" i="62" l="1"/>
  <c r="W3" i="62"/>
  <c r="W4" i="62"/>
  <c r="W5" i="62"/>
  <c r="S3" i="62"/>
  <c r="S4" i="62"/>
  <c r="S5" i="62"/>
  <c r="F8" i="62"/>
  <c r="F52" i="62"/>
  <c r="F51" i="62"/>
  <c r="F50" i="62"/>
  <c r="B78" i="62"/>
  <c r="D17" i="67" l="1"/>
  <c r="D16" i="67"/>
  <c r="D15" i="67"/>
  <c r="D33" i="66" l="1"/>
  <c r="D14" i="67" s="1"/>
  <c r="C33" i="66"/>
  <c r="B14" i="67" s="1"/>
  <c r="B33" i="66"/>
  <c r="C14" i="67" s="1"/>
  <c r="D32" i="66"/>
  <c r="D13" i="67" s="1"/>
  <c r="C32" i="66"/>
  <c r="B13" i="67" s="1"/>
  <c r="B32" i="66"/>
  <c r="C13" i="67" s="1"/>
  <c r="D31" i="66"/>
  <c r="D12" i="67" s="1"/>
  <c r="C31" i="66"/>
  <c r="B12" i="67" s="1"/>
  <c r="B31" i="66"/>
  <c r="C12" i="67" s="1"/>
  <c r="C30" i="66"/>
  <c r="B11" i="67" s="1"/>
  <c r="C11" i="67"/>
  <c r="G24" i="66"/>
  <c r="E20" i="66"/>
  <c r="F15" i="66"/>
  <c r="B27" i="66" s="1"/>
  <c r="D19" i="69" l="1"/>
  <c r="C25" i="69"/>
  <c r="C26" i="68"/>
  <c r="G20" i="68"/>
  <c r="F28" i="35" l="1"/>
  <c r="D28" i="35"/>
  <c r="H32" i="1"/>
  <c r="B7" i="67" l="1"/>
  <c r="B10" i="70" s="1"/>
  <c r="D30" i="66"/>
  <c r="D11" i="67" s="1"/>
  <c r="B20" i="67" l="1"/>
  <c r="N55" i="62" l="1"/>
  <c r="A30" i="33" l="1"/>
  <c r="H29" i="1" l="1"/>
  <c r="K32" i="1"/>
  <c r="D14" i="50" s="1"/>
  <c r="R7" i="69" l="1"/>
  <c r="R8" i="68"/>
  <c r="A7" i="69" l="1"/>
  <c r="A8" i="68"/>
  <c r="R61" i="62" l="1"/>
  <c r="R62" i="62"/>
  <c r="R63" i="62"/>
  <c r="T71" i="62"/>
  <c r="T72" i="62"/>
  <c r="R2" i="62"/>
  <c r="R3" i="62"/>
  <c r="R4" i="62"/>
  <c r="R5" i="62"/>
  <c r="N38" i="58" l="1"/>
  <c r="R71" i="62" l="1"/>
  <c r="R72" i="62"/>
  <c r="R91" i="62" l="1"/>
  <c r="R81" i="62"/>
  <c r="T81" i="62"/>
  <c r="J52" i="62" l="1"/>
  <c r="AA2" i="62" l="1"/>
  <c r="AA3" i="62"/>
  <c r="AA4" i="62"/>
  <c r="AA5" i="62"/>
  <c r="Z2" i="62"/>
  <c r="Z3" i="62"/>
  <c r="Z4" i="62"/>
  <c r="Z5" i="62"/>
  <c r="Y2" i="62"/>
  <c r="Y3" i="62"/>
  <c r="Y4" i="62"/>
  <c r="Y5" i="62"/>
  <c r="X2" i="62"/>
  <c r="X3" i="62"/>
  <c r="X4" i="62"/>
  <c r="X5" i="62"/>
  <c r="V2" i="62"/>
  <c r="V3" i="62"/>
  <c r="V4" i="62"/>
  <c r="V5" i="62"/>
  <c r="U2" i="62"/>
  <c r="U3" i="62"/>
  <c r="U4" i="62"/>
  <c r="U5" i="62"/>
  <c r="T2" i="62"/>
  <c r="T3" i="62"/>
  <c r="T4" i="62"/>
  <c r="T5" i="62"/>
  <c r="B76" i="62" l="1"/>
  <c r="B74" i="62"/>
  <c r="I21" i="31"/>
  <c r="B75" i="62" s="1"/>
  <c r="H21" i="31"/>
  <c r="B73" i="62" s="1"/>
  <c r="G21" i="31"/>
  <c r="B52" i="62" s="1"/>
  <c r="B69" i="62" l="1"/>
  <c r="R178" i="62" l="1"/>
  <c r="R179" i="62"/>
  <c r="R180" i="62"/>
  <c r="R181" i="62"/>
  <c r="R182" i="62"/>
  <c r="R183" i="62"/>
  <c r="R184" i="62"/>
  <c r="R185" i="62"/>
  <c r="R186" i="62"/>
  <c r="R187" i="62"/>
  <c r="R188" i="62"/>
  <c r="R189" i="62"/>
  <c r="R190" i="62"/>
  <c r="R191" i="62"/>
  <c r="R192" i="62"/>
  <c r="R193" i="62"/>
  <c r="R194" i="62"/>
  <c r="R195" i="62"/>
  <c r="R196" i="62"/>
  <c r="R197" i="62"/>
  <c r="R198" i="62"/>
  <c r="R199" i="62"/>
  <c r="R200" i="62"/>
  <c r="R201" i="62"/>
  <c r="R202" i="62"/>
  <c r="R203" i="62"/>
  <c r="R204" i="62"/>
  <c r="R205" i="62"/>
  <c r="R206" i="62"/>
  <c r="R207" i="62"/>
  <c r="R208" i="62"/>
  <c r="R209" i="62"/>
  <c r="R210" i="62"/>
  <c r="R211" i="62"/>
  <c r="R212" i="62"/>
  <c r="R213" i="62"/>
  <c r="R214" i="62"/>
  <c r="R215" i="62"/>
  <c r="R216" i="62"/>
  <c r="R217" i="62"/>
  <c r="R218" i="62"/>
  <c r="R219" i="62"/>
  <c r="R220" i="62"/>
  <c r="R221" i="62"/>
  <c r="R222" i="62"/>
  <c r="R223" i="62"/>
  <c r="R224" i="62"/>
  <c r="R225" i="62"/>
  <c r="R226" i="62"/>
  <c r="R227" i="62"/>
  <c r="R228" i="62"/>
  <c r="R229" i="62"/>
  <c r="R230" i="62"/>
  <c r="R231" i="62"/>
  <c r="R232" i="62"/>
  <c r="R233" i="62"/>
  <c r="R234" i="62"/>
  <c r="R235" i="62"/>
  <c r="R236" i="62"/>
  <c r="R237" i="62"/>
  <c r="R238" i="62"/>
  <c r="R239" i="62"/>
  <c r="R240" i="62"/>
  <c r="R241" i="62"/>
  <c r="R242" i="62"/>
  <c r="R243" i="62"/>
  <c r="S292" i="62" l="1"/>
  <c r="R292" i="62"/>
  <c r="U292" i="62"/>
  <c r="T292" i="62"/>
  <c r="F44" i="62"/>
  <c r="S154" i="62"/>
  <c r="S155" i="62"/>
  <c r="S156" i="62"/>
  <c r="S157" i="62"/>
  <c r="S158" i="62"/>
  <c r="S159" i="62"/>
  <c r="S160" i="62"/>
  <c r="S161" i="62"/>
  <c r="S162" i="62"/>
  <c r="S163" i="62"/>
  <c r="S164" i="62"/>
  <c r="S165" i="62"/>
  <c r="S166" i="62"/>
  <c r="S167" i="62"/>
  <c r="S168" i="62"/>
  <c r="S169" i="62"/>
  <c r="W101" i="62"/>
  <c r="W102" i="62"/>
  <c r="W103" i="62"/>
  <c r="W104" i="62"/>
  <c r="U101" i="62"/>
  <c r="U102" i="62"/>
  <c r="U103" i="62"/>
  <c r="U104" i="62"/>
  <c r="S21" i="62"/>
  <c r="S22" i="62"/>
  <c r="S23" i="62"/>
  <c r="B31" i="62" l="1"/>
  <c r="B30" i="62"/>
  <c r="F24" i="62"/>
  <c r="F28" i="62"/>
  <c r="T154" i="62" l="1"/>
  <c r="T155" i="62"/>
  <c r="T156" i="62"/>
  <c r="T157" i="62"/>
  <c r="T158" i="62"/>
  <c r="T159" i="62"/>
  <c r="T160" i="62"/>
  <c r="T161" i="62"/>
  <c r="T162" i="62"/>
  <c r="T163" i="62"/>
  <c r="T164" i="62"/>
  <c r="T165" i="62"/>
  <c r="T166" i="62"/>
  <c r="T167" i="62"/>
  <c r="T168" i="62"/>
  <c r="T169" i="62"/>
  <c r="Y121" i="62"/>
  <c r="B49" i="62"/>
  <c r="T61" i="62"/>
  <c r="T62" i="62"/>
  <c r="T63" i="62"/>
  <c r="U61" i="62"/>
  <c r="U62" i="62"/>
  <c r="U63" i="62"/>
  <c r="F12" i="62"/>
  <c r="F34" i="62" l="1"/>
  <c r="F30" i="62"/>
  <c r="F29" i="62"/>
  <c r="F26" i="62"/>
  <c r="F25" i="62"/>
  <c r="F19" i="62"/>
  <c r="F15" i="62"/>
  <c r="F2" i="62"/>
  <c r="F6" i="62"/>
  <c r="F10" i="62"/>
  <c r="F11" i="62"/>
  <c r="F23" i="62"/>
  <c r="T21" i="62" l="1"/>
  <c r="T22" i="62"/>
  <c r="T23" i="62"/>
  <c r="F47" i="62" l="1"/>
  <c r="F42" i="62"/>
  <c r="F41" i="62"/>
  <c r="F40" i="62"/>
  <c r="F22" i="62"/>
  <c r="F21" i="62"/>
  <c r="F20" i="62"/>
  <c r="F46" i="62" l="1"/>
  <c r="F43" i="62"/>
  <c r="T101" i="62" l="1"/>
  <c r="T102" i="62"/>
  <c r="T103" i="62"/>
  <c r="T104" i="62"/>
  <c r="F31" i="62"/>
  <c r="F39" i="62"/>
  <c r="F38" i="62"/>
  <c r="F37" i="62"/>
  <c r="F36" i="62"/>
  <c r="F35" i="62"/>
  <c r="F33" i="62"/>
  <c r="F17" i="62"/>
  <c r="F16" i="62"/>
  <c r="F14" i="62"/>
  <c r="F18" i="62"/>
  <c r="F5" i="62"/>
  <c r="L26" i="62"/>
  <c r="L25" i="62"/>
  <c r="K27" i="62"/>
  <c r="K26" i="62"/>
  <c r="K25" i="62"/>
  <c r="K24" i="62"/>
  <c r="B4" i="62" l="1"/>
  <c r="V154" i="62" l="1"/>
  <c r="V155" i="62"/>
  <c r="V156" i="62"/>
  <c r="V157" i="62"/>
  <c r="V158" i="62"/>
  <c r="V159" i="62"/>
  <c r="V160" i="62"/>
  <c r="V161" i="62"/>
  <c r="V162" i="62"/>
  <c r="V163" i="62"/>
  <c r="V164" i="62"/>
  <c r="V165" i="62"/>
  <c r="V166" i="62"/>
  <c r="V167" i="62"/>
  <c r="V168" i="62"/>
  <c r="V169" i="62"/>
  <c r="U154" i="62"/>
  <c r="U155" i="62"/>
  <c r="U156" i="62"/>
  <c r="U157" i="62"/>
  <c r="U158" i="62"/>
  <c r="U159" i="62"/>
  <c r="U160" i="62"/>
  <c r="U161" i="62"/>
  <c r="U162" i="62"/>
  <c r="U163" i="62"/>
  <c r="U164" i="62"/>
  <c r="U165" i="62"/>
  <c r="U166" i="62"/>
  <c r="U167" i="62"/>
  <c r="U168" i="62"/>
  <c r="U169" i="62"/>
  <c r="R154" i="62"/>
  <c r="R155" i="62"/>
  <c r="R156" i="62"/>
  <c r="R157" i="62"/>
  <c r="R158" i="62"/>
  <c r="R159" i="62"/>
  <c r="R160" i="62"/>
  <c r="R161" i="62"/>
  <c r="R162" i="62"/>
  <c r="R163" i="62"/>
  <c r="R164" i="62"/>
  <c r="R165" i="62"/>
  <c r="R166" i="62"/>
  <c r="R167" i="62"/>
  <c r="R168" i="62"/>
  <c r="R169" i="62"/>
  <c r="U131" i="62"/>
  <c r="U132" i="62"/>
  <c r="U133" i="62"/>
  <c r="U134" i="62"/>
  <c r="U135" i="62"/>
  <c r="U136" i="62"/>
  <c r="U137" i="62"/>
  <c r="U138" i="62"/>
  <c r="T131" i="62"/>
  <c r="T132" i="62"/>
  <c r="T133" i="62"/>
  <c r="T134" i="62"/>
  <c r="T135" i="62"/>
  <c r="T136" i="62"/>
  <c r="T137" i="62"/>
  <c r="T138" i="62"/>
  <c r="S131" i="62"/>
  <c r="S132" i="62"/>
  <c r="S133" i="62"/>
  <c r="S134" i="62"/>
  <c r="S135" i="62"/>
  <c r="S136" i="62"/>
  <c r="S137" i="62"/>
  <c r="S138" i="62"/>
  <c r="R131" i="62"/>
  <c r="R132" i="62"/>
  <c r="R133" i="62"/>
  <c r="R134" i="62"/>
  <c r="R135" i="62"/>
  <c r="R136" i="62"/>
  <c r="R137" i="62"/>
  <c r="R138" i="62"/>
  <c r="X121" i="62"/>
  <c r="W121" i="62"/>
  <c r="U121" i="62"/>
  <c r="T121" i="62"/>
  <c r="S121" i="62"/>
  <c r="S101" i="62"/>
  <c r="S102" i="62"/>
  <c r="S103" i="62"/>
  <c r="S104" i="62"/>
  <c r="R101" i="62"/>
  <c r="R102" i="62"/>
  <c r="R103" i="62"/>
  <c r="R104" i="62"/>
  <c r="J77" i="62"/>
  <c r="J73" i="62"/>
  <c r="J72" i="62"/>
  <c r="J67" i="62"/>
  <c r="J65" i="62"/>
  <c r="J64" i="62"/>
  <c r="J63" i="62"/>
  <c r="S91" i="62"/>
  <c r="U81" i="62"/>
  <c r="S81" i="62"/>
  <c r="U71" i="62"/>
  <c r="U72" i="62"/>
  <c r="S71" i="62"/>
  <c r="S72" i="62"/>
  <c r="V61" i="62"/>
  <c r="V62" i="62"/>
  <c r="V63" i="62"/>
  <c r="S61" i="62"/>
  <c r="S62" i="62"/>
  <c r="S63" i="62"/>
  <c r="S51" i="62"/>
  <c r="S52" i="62"/>
  <c r="S53" i="62"/>
  <c r="S54" i="62"/>
  <c r="R51" i="62"/>
  <c r="R52" i="62"/>
  <c r="R53" i="62"/>
  <c r="R54" i="62"/>
  <c r="S41" i="62"/>
  <c r="S42" i="62"/>
  <c r="S43" i="62"/>
  <c r="S44" i="62"/>
  <c r="R41" i="62"/>
  <c r="R42" i="62"/>
  <c r="R43" i="62"/>
  <c r="R44" i="62"/>
  <c r="W23" i="62" l="1"/>
  <c r="W22" i="62"/>
  <c r="W21" i="62"/>
  <c r="X3" i="61"/>
  <c r="U3" i="61"/>
  <c r="R3" i="61"/>
  <c r="O31" i="62"/>
  <c r="N31" i="62" s="1"/>
  <c r="N58" i="62"/>
  <c r="N57" i="62"/>
  <c r="N53" i="62"/>
  <c r="N50" i="62"/>
  <c r="N44" i="62"/>
  <c r="N42" i="62"/>
  <c r="N41" i="62"/>
  <c r="N37" i="62"/>
  <c r="N36" i="62"/>
  <c r="N35" i="62"/>
  <c r="N34" i="62"/>
  <c r="J49" i="62"/>
  <c r="J48" i="62"/>
  <c r="J51" i="62"/>
  <c r="J50" i="62"/>
  <c r="J44" i="62"/>
  <c r="J43" i="62"/>
  <c r="J42" i="62"/>
  <c r="J41" i="62"/>
  <c r="J40" i="62"/>
  <c r="J38" i="62"/>
  <c r="J37" i="62"/>
  <c r="J36" i="62"/>
  <c r="J35" i="62"/>
  <c r="J33" i="62"/>
  <c r="J32" i="62"/>
  <c r="J31" i="62"/>
  <c r="R21" i="62" l="1"/>
  <c r="U21" i="62"/>
  <c r="R22" i="62"/>
  <c r="U22" i="62"/>
  <c r="F69" i="62"/>
  <c r="R23" i="62"/>
  <c r="U23" i="62"/>
  <c r="N60" i="62"/>
  <c r="N17" i="62"/>
  <c r="N16" i="62"/>
  <c r="N15" i="62"/>
  <c r="N11" i="62"/>
  <c r="N10" i="62"/>
  <c r="N9" i="62"/>
  <c r="N8" i="62"/>
  <c r="N7" i="62"/>
  <c r="N6" i="62"/>
  <c r="N5" i="62"/>
  <c r="N3" i="62"/>
  <c r="J9" i="62" l="1"/>
  <c r="J7" i="62"/>
  <c r="J5" i="62"/>
  <c r="J4" i="62"/>
  <c r="F9" i="62"/>
  <c r="F7" i="62"/>
  <c r="F4" i="62"/>
  <c r="B72" i="62" l="1"/>
  <c r="B71" i="62"/>
  <c r="B65" i="62"/>
  <c r="B64" i="62"/>
  <c r="B63" i="62"/>
  <c r="B62" i="62"/>
  <c r="B57" i="62"/>
  <c r="B56" i="62"/>
  <c r="B55" i="62"/>
  <c r="B54" i="62"/>
  <c r="B53" i="62"/>
  <c r="B50" i="62"/>
  <c r="B45" i="62"/>
  <c r="B44" i="62"/>
  <c r="B40" i="62"/>
  <c r="B39" i="62"/>
  <c r="B37" i="62"/>
  <c r="B28" i="62"/>
  <c r="B23" i="62"/>
  <c r="B21" i="62"/>
  <c r="B19" i="62"/>
  <c r="B16" i="62"/>
  <c r="B14" i="62"/>
  <c r="B12" i="62"/>
  <c r="B8" i="62"/>
  <c r="B6" i="62"/>
  <c r="B3" i="62"/>
  <c r="B2" i="62" l="1"/>
  <c r="M3" i="61" l="1"/>
  <c r="D3" i="61"/>
  <c r="M4" i="61" l="1"/>
  <c r="M5" i="61" s="1"/>
  <c r="R6" i="61" s="1"/>
  <c r="X4" i="61"/>
  <c r="R4" i="61"/>
  <c r="U4" i="61"/>
  <c r="D4" i="61"/>
  <c r="D5" i="61" s="1"/>
  <c r="U5" i="61" l="1"/>
  <c r="M6" i="61"/>
  <c r="M7" i="61" s="1"/>
  <c r="R5" i="61"/>
  <c r="X6" i="61"/>
  <c r="X5" i="61"/>
  <c r="U6" i="61"/>
  <c r="D6" i="61"/>
  <c r="D7" i="61" s="1"/>
  <c r="R7" i="61" l="1"/>
  <c r="R8" i="61"/>
  <c r="X7" i="61"/>
  <c r="U7" i="61"/>
  <c r="X8" i="61"/>
  <c r="U8" i="61"/>
  <c r="M8" i="61"/>
  <c r="D8" i="61"/>
  <c r="D9" i="61" s="1"/>
  <c r="U9" i="61" l="1"/>
  <c r="M9" i="61"/>
  <c r="U10" i="61" s="1"/>
  <c r="X9" i="61"/>
  <c r="R9" i="61"/>
  <c r="D10" i="61"/>
  <c r="R10" i="61" l="1"/>
  <c r="M10" i="61"/>
  <c r="X10" i="61"/>
  <c r="D11" i="61"/>
  <c r="M11" i="61" l="1"/>
  <c r="X12" i="61" s="1"/>
  <c r="U11" i="61"/>
  <c r="R11" i="61"/>
  <c r="X11" i="61"/>
  <c r="D12" i="61"/>
  <c r="U12" i="61" l="1"/>
  <c r="R12" i="61"/>
  <c r="M12" i="61"/>
  <c r="D13" i="61"/>
  <c r="R13" i="61" l="1"/>
  <c r="M13" i="61"/>
  <c r="U14" i="61" s="1"/>
  <c r="X13" i="61"/>
  <c r="U13" i="61"/>
  <c r="D14" i="61"/>
  <c r="R14" i="61" l="1"/>
  <c r="X14" i="61"/>
  <c r="M14" i="61"/>
  <c r="D15" i="61"/>
  <c r="M15" i="61" l="1"/>
  <c r="X15" i="61"/>
  <c r="U15" i="61"/>
  <c r="R15" i="61"/>
  <c r="D16" i="61"/>
  <c r="D17" i="61" s="1"/>
  <c r="D18" i="61" s="1"/>
  <c r="D19" i="61" s="1"/>
  <c r="M16" i="61" l="1"/>
  <c r="R16" i="61"/>
  <c r="U16" i="61"/>
  <c r="X16" i="61"/>
  <c r="D20" i="61"/>
  <c r="D21" i="61" s="1"/>
  <c r="D22" i="61" l="1"/>
  <c r="D23" i="61" s="1"/>
  <c r="M17" i="61"/>
  <c r="X17" i="61"/>
  <c r="R17" i="61"/>
  <c r="U17" i="61"/>
  <c r="M18" i="61"/>
  <c r="C34" i="27"/>
  <c r="B32" i="1"/>
  <c r="A14" i="50" s="1"/>
  <c r="B31" i="1"/>
  <c r="L31" i="1"/>
  <c r="P12" i="50" s="1"/>
  <c r="F15" i="33"/>
  <c r="N47" i="62" s="1"/>
  <c r="F16" i="33"/>
  <c r="N46" i="62" s="1"/>
  <c r="A7" i="1"/>
  <c r="A9" i="1" s="1"/>
  <c r="G11" i="35"/>
  <c r="J61" i="62" s="1"/>
  <c r="E12" i="30"/>
  <c r="J15" i="62" s="1"/>
  <c r="J18" i="62"/>
  <c r="E5" i="31"/>
  <c r="E6" i="31"/>
  <c r="B26" i="62" s="1"/>
  <c r="E7" i="31"/>
  <c r="B27" i="62" s="1"/>
  <c r="B42" i="62"/>
  <c r="J8" i="62"/>
  <c r="F31" i="30"/>
  <c r="N4" i="62" s="1"/>
  <c r="F21" i="31"/>
  <c r="D23" i="31" s="1"/>
  <c r="D34" i="31"/>
  <c r="B47" i="62" s="1"/>
  <c r="D37" i="31"/>
  <c r="A38" i="32"/>
  <c r="A32" i="32"/>
  <c r="F45" i="62" s="1"/>
  <c r="A60" i="73"/>
  <c r="J69" i="62"/>
  <c r="C46" i="27"/>
  <c r="A3" i="1"/>
  <c r="A5" i="1"/>
  <c r="M19" i="33"/>
  <c r="B28" i="1"/>
  <c r="A10" i="50" s="1"/>
  <c r="J28" i="1"/>
  <c r="B29" i="1"/>
  <c r="A15" i="58"/>
  <c r="A19" i="58"/>
  <c r="AG17" i="58"/>
  <c r="AK15" i="58"/>
  <c r="H15" i="58"/>
  <c r="Y13" i="58"/>
  <c r="A13" i="58"/>
  <c r="AN11" i="58"/>
  <c r="Y11" i="58"/>
  <c r="A11" i="58"/>
  <c r="Q57" i="58"/>
  <c r="B5" i="27"/>
  <c r="A47" i="1"/>
  <c r="W18" i="51"/>
  <c r="F32" i="1"/>
  <c r="G31" i="1"/>
  <c r="G28" i="1"/>
  <c r="A43" i="32"/>
  <c r="B5" i="62" s="1"/>
  <c r="A51" i="22"/>
  <c r="A34" i="55"/>
  <c r="E6" i="55"/>
  <c r="A21" i="54"/>
  <c r="A34" i="53"/>
  <c r="A32" i="38"/>
  <c r="F5" i="53"/>
  <c r="F12" i="53"/>
  <c r="V131" i="62" s="1"/>
  <c r="F13" i="53"/>
  <c r="V132" i="62" s="1"/>
  <c r="F14" i="53"/>
  <c r="V133" i="62" s="1"/>
  <c r="F15" i="53"/>
  <c r="V134" i="62" s="1"/>
  <c r="F16" i="53"/>
  <c r="V135" i="62" s="1"/>
  <c r="F17" i="53"/>
  <c r="V136" i="62" s="1"/>
  <c r="F18" i="53"/>
  <c r="V137" i="62" s="1"/>
  <c r="F19" i="53"/>
  <c r="V138" i="62" s="1"/>
  <c r="E20" i="53"/>
  <c r="G33" i="35"/>
  <c r="V101" i="62"/>
  <c r="V103" i="62"/>
  <c r="V104" i="62"/>
  <c r="A51" i="51"/>
  <c r="A59" i="51"/>
  <c r="E27" i="33"/>
  <c r="N40" i="62" s="1"/>
  <c r="A36" i="33"/>
  <c r="G13" i="34"/>
  <c r="F76" i="62" s="1"/>
  <c r="F13" i="34"/>
  <c r="F67" i="62" s="1"/>
  <c r="G12" i="34"/>
  <c r="F75" i="62" s="1"/>
  <c r="F12" i="34"/>
  <c r="F66" i="62" s="1"/>
  <c r="F11" i="34"/>
  <c r="F63" i="62" s="1"/>
  <c r="G11" i="34"/>
  <c r="F72" i="62" s="1"/>
  <c r="G14" i="34"/>
  <c r="F77" i="62" s="1"/>
  <c r="G10" i="34"/>
  <c r="F71" i="62" s="1"/>
  <c r="G9" i="34"/>
  <c r="F74" i="62" s="1"/>
  <c r="G8" i="34"/>
  <c r="F73" i="62" s="1"/>
  <c r="G7" i="34"/>
  <c r="F70" i="62" s="1"/>
  <c r="F14" i="34"/>
  <c r="F68" i="62" s="1"/>
  <c r="F10" i="34"/>
  <c r="F62" i="62" s="1"/>
  <c r="F9" i="34"/>
  <c r="F65" i="62" s="1"/>
  <c r="F8" i="34"/>
  <c r="F64" i="62" s="1"/>
  <c r="F7" i="34"/>
  <c r="F61" i="62" s="1"/>
  <c r="A38" i="35"/>
  <c r="A61" i="32"/>
  <c r="K26" i="32"/>
  <c r="J47" i="62" s="1"/>
  <c r="A49" i="27"/>
  <c r="C48" i="27"/>
  <c r="C35" i="27"/>
  <c r="C23" i="27"/>
  <c r="C16" i="27"/>
  <c r="B23" i="27"/>
  <c r="B16" i="27"/>
  <c r="B17" i="27" s="1"/>
  <c r="F30" i="33" l="1"/>
  <c r="F11" i="33"/>
  <c r="B25" i="62"/>
  <c r="E18" i="30"/>
  <c r="J21" i="62" s="1"/>
  <c r="H8" i="70"/>
  <c r="AH13" i="73"/>
  <c r="A60" i="32"/>
  <c r="V12" i="50"/>
  <c r="D12" i="50"/>
  <c r="B51" i="62"/>
  <c r="B14" i="68"/>
  <c r="B13" i="69"/>
  <c r="H35" i="33"/>
  <c r="F18" i="33"/>
  <c r="F17" i="33"/>
  <c r="N43" i="62" s="1"/>
  <c r="G13" i="35"/>
  <c r="G16" i="35" s="1"/>
  <c r="F35" i="33"/>
  <c r="H10" i="50"/>
  <c r="B68" i="62"/>
  <c r="I1" i="35"/>
  <c r="C47" i="27"/>
  <c r="A60" i="58"/>
  <c r="E10" i="30"/>
  <c r="F14" i="33"/>
  <c r="C24" i="27"/>
  <c r="C25" i="27" s="1"/>
  <c r="B24" i="27"/>
  <c r="B25" i="27" s="1"/>
  <c r="C17" i="27"/>
  <c r="V102" i="62"/>
  <c r="G34" i="35"/>
  <c r="G35" i="35" s="1"/>
  <c r="AH13" i="58"/>
  <c r="Y10" i="50"/>
  <c r="I1" i="33"/>
  <c r="J2" i="62"/>
  <c r="N48" i="62"/>
  <c r="N45" i="62"/>
  <c r="F20" i="53"/>
  <c r="J3" i="62" s="1"/>
  <c r="J74" i="62"/>
  <c r="J62" i="62"/>
  <c r="D38" i="31"/>
  <c r="B34" i="62" s="1"/>
  <c r="B48" i="62"/>
  <c r="M19" i="61"/>
  <c r="X19" i="61"/>
  <c r="R19" i="61"/>
  <c r="U19" i="61"/>
  <c r="X18" i="61"/>
  <c r="U18" i="61"/>
  <c r="R18" i="61"/>
  <c r="D35" i="31"/>
  <c r="B33" i="62" s="1"/>
  <c r="D24" i="61"/>
  <c r="D25" i="61" s="1"/>
  <c r="N75" i="62" l="1"/>
  <c r="J12" i="62"/>
  <c r="G1" i="38"/>
  <c r="G1" i="74"/>
  <c r="I36" i="73"/>
  <c r="I46" i="73" s="1"/>
  <c r="I49" i="73" s="1"/>
  <c r="AE38" i="73" s="1"/>
  <c r="I36" i="58"/>
  <c r="J17" i="62"/>
  <c r="N49" i="62"/>
  <c r="F23" i="33"/>
  <c r="H38" i="50" s="1"/>
  <c r="J66" i="62"/>
  <c r="N3" i="51"/>
  <c r="AC18" i="51" s="1"/>
  <c r="Y13" i="69"/>
  <c r="Y14" i="68"/>
  <c r="D14" i="68"/>
  <c r="D13" i="69"/>
  <c r="F1" i="53"/>
  <c r="E1" i="55" s="1"/>
  <c r="N39" i="62"/>
  <c r="N56" i="62"/>
  <c r="N33" i="62"/>
  <c r="J68" i="62"/>
  <c r="J76" i="62"/>
  <c r="N54" i="62"/>
  <c r="N32" i="62"/>
  <c r="J71" i="62"/>
  <c r="E13" i="30"/>
  <c r="J20" i="62" s="1"/>
  <c r="J46" i="62"/>
  <c r="R20" i="61"/>
  <c r="X20" i="61"/>
  <c r="U20" i="61"/>
  <c r="M20" i="61"/>
  <c r="D26" i="61"/>
  <c r="D27" i="61" s="1"/>
  <c r="D28" i="61" s="1"/>
  <c r="D29" i="61" s="1"/>
  <c r="D30" i="61" s="1"/>
  <c r="D31" i="61" s="1"/>
  <c r="D32" i="61" s="1"/>
  <c r="D33" i="61" s="1"/>
  <c r="D34" i="61" s="1"/>
  <c r="D35" i="61" s="1"/>
  <c r="D36" i="61" s="1"/>
  <c r="D37" i="61" s="1"/>
  <c r="D38" i="61" s="1"/>
  <c r="D39" i="61" s="1"/>
  <c r="S9" i="51" l="1"/>
  <c r="AG47" i="73"/>
  <c r="AJ49" i="73" s="1"/>
  <c r="X41" i="73"/>
  <c r="AH42" i="73"/>
  <c r="X42" i="73"/>
  <c r="AD43" i="73" s="1"/>
  <c r="I46" i="58"/>
  <c r="I49" i="58" s="1"/>
  <c r="AE38" i="58" s="1"/>
  <c r="E10" i="22" s="1"/>
  <c r="AG47" i="58"/>
  <c r="AJ49" i="58" s="1"/>
  <c r="H44" i="50"/>
  <c r="H46" i="50" s="1"/>
  <c r="H48" i="50" s="1"/>
  <c r="N51" i="62"/>
  <c r="E11" i="30"/>
  <c r="N52" i="62"/>
  <c r="J75" i="62"/>
  <c r="J70" i="62"/>
  <c r="E14" i="30"/>
  <c r="J16" i="62" s="1"/>
  <c r="X21" i="61"/>
  <c r="R21" i="61"/>
  <c r="U21" i="61"/>
  <c r="M21" i="61"/>
  <c r="M22" i="61" s="1"/>
  <c r="D40" i="61"/>
  <c r="D41" i="61" s="1"/>
  <c r="C12" i="22" l="1"/>
  <c r="C15" i="22" s="1"/>
  <c r="E11" i="22"/>
  <c r="F30" i="38"/>
  <c r="N77" i="62" s="1"/>
  <c r="F10" i="38"/>
  <c r="X41" i="58"/>
  <c r="X42" i="58"/>
  <c r="AD43" i="58" s="1"/>
  <c r="P46" i="50"/>
  <c r="P48" i="50" s="1"/>
  <c r="H52" i="50" s="1"/>
  <c r="J19" i="62"/>
  <c r="E15" i="30"/>
  <c r="B36" i="62"/>
  <c r="M23" i="61"/>
  <c r="M24" i="61" s="1"/>
  <c r="X22" i="61"/>
  <c r="U22" i="61"/>
  <c r="R22" i="61"/>
  <c r="X23" i="61"/>
  <c r="R23" i="61"/>
  <c r="U23" i="61"/>
  <c r="D42" i="61"/>
  <c r="D43" i="61" s="1"/>
  <c r="D44" i="61" s="1"/>
  <c r="H54" i="50" l="1"/>
  <c r="H56" i="50" s="1"/>
  <c r="N76" i="62"/>
  <c r="F11" i="38"/>
  <c r="E16" i="30"/>
  <c r="A100" i="22" s="1"/>
  <c r="N74" i="62"/>
  <c r="J11" i="62"/>
  <c r="G11" i="22"/>
  <c r="X24" i="61"/>
  <c r="U24" i="61"/>
  <c r="R24" i="61"/>
  <c r="J10" i="62"/>
  <c r="F39" i="30"/>
  <c r="B20" i="62" s="1"/>
  <c r="M25" i="61"/>
  <c r="U25" i="61"/>
  <c r="R25" i="61"/>
  <c r="X25" i="61"/>
  <c r="D45" i="61"/>
  <c r="D46" i="61" s="1"/>
  <c r="D47" i="61" s="1"/>
  <c r="AH9" i="51" l="1"/>
  <c r="D12" i="22" s="1"/>
  <c r="F12" i="38"/>
  <c r="N78" i="62" s="1"/>
  <c r="E13" i="22"/>
  <c r="G13" i="22" s="1"/>
  <c r="AH42" i="58"/>
  <c r="H58" i="50"/>
  <c r="H60" i="50" s="1"/>
  <c r="L22" i="30"/>
  <c r="M26" i="61"/>
  <c r="R26" i="61"/>
  <c r="U26" i="61"/>
  <c r="X26" i="61"/>
  <c r="D48" i="61"/>
  <c r="D15" i="22" l="1"/>
  <c r="G15" i="22" s="1"/>
  <c r="G12" i="22"/>
  <c r="E16" i="22"/>
  <c r="H62" i="50"/>
  <c r="H66" i="50" s="1"/>
  <c r="G13" i="51" s="1"/>
  <c r="J13" i="62"/>
  <c r="B18" i="62"/>
  <c r="B22" i="62"/>
  <c r="F23" i="38"/>
  <c r="F15" i="54"/>
  <c r="Z121" i="62" s="1"/>
  <c r="J14" i="62"/>
  <c r="C17" i="22"/>
  <c r="M27" i="61"/>
  <c r="X27" i="61"/>
  <c r="U27" i="61"/>
  <c r="R27" i="61"/>
  <c r="D49" i="61"/>
  <c r="E18" i="22" l="1"/>
  <c r="G16" i="22"/>
  <c r="C10" i="22"/>
  <c r="G10" i="22" s="1"/>
  <c r="F32" i="30"/>
  <c r="N13" i="62" s="1"/>
  <c r="B67" i="62"/>
  <c r="B24" i="62"/>
  <c r="C19" i="22"/>
  <c r="M28" i="61"/>
  <c r="X28" i="61"/>
  <c r="U28" i="61"/>
  <c r="R28" i="61"/>
  <c r="D50" i="61"/>
  <c r="D51" i="61" s="1"/>
  <c r="D52" i="61" s="1"/>
  <c r="D53" i="61" s="1"/>
  <c r="D54" i="61" s="1"/>
  <c r="D55" i="61" s="1"/>
  <c r="D56" i="61" s="1"/>
  <c r="D57" i="61" s="1"/>
  <c r="D58" i="61" s="1"/>
  <c r="D59" i="61" s="1"/>
  <c r="D60" i="61" s="1"/>
  <c r="D61" i="61" s="1"/>
  <c r="D62" i="61" s="1"/>
  <c r="D63" i="61" s="1"/>
  <c r="D64" i="61" s="1"/>
  <c r="D65" i="61" s="1"/>
  <c r="D66" i="61" s="1"/>
  <c r="D67" i="61" s="1"/>
  <c r="D68" i="61" s="1"/>
  <c r="D69" i="61" s="1"/>
  <c r="D70" i="61" s="1"/>
  <c r="D71" i="61" s="1"/>
  <c r="D72" i="61" s="1"/>
  <c r="D73" i="61" s="1"/>
  <c r="D74" i="61" s="1"/>
  <c r="D75" i="61" s="1"/>
  <c r="D76" i="61" s="1"/>
  <c r="D77" i="61" s="1"/>
  <c r="D78" i="61" s="1"/>
  <c r="D79" i="61" s="1"/>
  <c r="D80" i="61" s="1"/>
  <c r="D81" i="61" s="1"/>
  <c r="D82" i="61" s="1"/>
  <c r="D83" i="61" s="1"/>
  <c r="D84" i="61" s="1"/>
  <c r="D85" i="61" s="1"/>
  <c r="D86" i="61" s="1"/>
  <c r="D87" i="61" s="1"/>
  <c r="D88" i="61" s="1"/>
  <c r="D89" i="61" s="1"/>
  <c r="D90" i="61" s="1"/>
  <c r="D91" i="61" s="1"/>
  <c r="D92" i="61" s="1"/>
  <c r="D93" i="61" s="1"/>
  <c r="D94" i="61" s="1"/>
  <c r="D95" i="61" s="1"/>
  <c r="D96" i="61" s="1"/>
  <c r="D97" i="61" s="1"/>
  <c r="D98" i="61" s="1"/>
  <c r="D99" i="61" s="1"/>
  <c r="D100" i="61" s="1"/>
  <c r="D101" i="61" s="1"/>
  <c r="D102" i="61" s="1"/>
  <c r="D103" i="61" s="1"/>
  <c r="D104" i="61" s="1"/>
  <c r="D105" i="61" s="1"/>
  <c r="D106" i="61" s="1"/>
  <c r="D107" i="61" s="1"/>
  <c r="D108" i="61" s="1"/>
  <c r="D109" i="61" s="1"/>
  <c r="D110" i="61" s="1"/>
  <c r="D111" i="61" s="1"/>
  <c r="D112" i="61" s="1"/>
  <c r="D113" i="61" s="1"/>
  <c r="D114" i="61" s="1"/>
  <c r="D115" i="61" s="1"/>
  <c r="D116" i="61" s="1"/>
  <c r="D117" i="61" s="1"/>
  <c r="D118" i="61" s="1"/>
  <c r="D119" i="61" s="1"/>
  <c r="D120" i="61" s="1"/>
  <c r="D121" i="61" s="1"/>
  <c r="D122" i="61" s="1"/>
  <c r="D123" i="61" s="1"/>
  <c r="D124" i="61" s="1"/>
  <c r="D125" i="61" s="1"/>
  <c r="D126" i="61" s="1"/>
  <c r="D127" i="61" s="1"/>
  <c r="D128" i="61" s="1"/>
  <c r="D129" i="61" s="1"/>
  <c r="D130" i="61" s="1"/>
  <c r="D131" i="61" s="1"/>
  <c r="D132" i="61" s="1"/>
  <c r="D133" i="61" s="1"/>
  <c r="D134" i="61" s="1"/>
  <c r="D135" i="61" s="1"/>
  <c r="D136" i="61" s="1"/>
  <c r="D137" i="61" s="1"/>
  <c r="D138" i="61" s="1"/>
  <c r="D139" i="61" s="1"/>
  <c r="D140" i="61" s="1"/>
  <c r="D141" i="61" s="1"/>
  <c r="D142" i="61" s="1"/>
  <c r="D143" i="61" s="1"/>
  <c r="D144" i="61" s="1"/>
  <c r="D145" i="61" s="1"/>
  <c r="D146" i="61" s="1"/>
  <c r="D147" i="61" s="1"/>
  <c r="D148" i="61" s="1"/>
  <c r="D149" i="61" s="1"/>
  <c r="D150" i="61" s="1"/>
  <c r="D151" i="61" s="1"/>
  <c r="D152" i="61" s="1"/>
  <c r="D153" i="61" s="1"/>
  <c r="D154" i="61" s="1"/>
  <c r="D155" i="61" s="1"/>
  <c r="D156" i="61" s="1"/>
  <c r="D157" i="61" s="1"/>
  <c r="D158" i="61" s="1"/>
  <c r="D159" i="61" s="1"/>
  <c r="D160" i="61" s="1"/>
  <c r="D161" i="61" s="1"/>
  <c r="D162" i="61" s="1"/>
  <c r="D163" i="61" s="1"/>
  <c r="D164" i="61" s="1"/>
  <c r="D165" i="61" s="1"/>
  <c r="D166" i="61" s="1"/>
  <c r="D167" i="61" s="1"/>
  <c r="D168" i="61" s="1"/>
  <c r="D169" i="61" s="1"/>
  <c r="D170" i="61" s="1"/>
  <c r="D171" i="61" s="1"/>
  <c r="D172" i="61" s="1"/>
  <c r="D173" i="61" s="1"/>
  <c r="D174" i="61" s="1"/>
  <c r="D175" i="61" s="1"/>
  <c r="D176" i="61" s="1"/>
  <c r="D177" i="61" s="1"/>
  <c r="D178" i="61" s="1"/>
  <c r="D179" i="61" s="1"/>
  <c r="D180" i="61" s="1"/>
  <c r="D181" i="61" s="1"/>
  <c r="D182" i="61" s="1"/>
  <c r="D183" i="61" s="1"/>
  <c r="D184" i="61" s="1"/>
  <c r="D185" i="61" s="1"/>
  <c r="D186" i="61" s="1"/>
  <c r="D187" i="61" s="1"/>
  <c r="D188" i="61" s="1"/>
  <c r="D189" i="61" s="1"/>
  <c r="D190" i="61" s="1"/>
  <c r="D191" i="61" s="1"/>
  <c r="D192" i="61" s="1"/>
  <c r="D193" i="61" s="1"/>
  <c r="D194" i="61" s="1"/>
  <c r="D195" i="61" s="1"/>
  <c r="D196" i="61" s="1"/>
  <c r="D197" i="61" s="1"/>
  <c r="D198" i="61" s="1"/>
  <c r="D199" i="61" s="1"/>
  <c r="D200" i="61" s="1"/>
  <c r="D201" i="61" s="1"/>
  <c r="D202" i="61" s="1"/>
  <c r="D203" i="61" s="1"/>
  <c r="D204" i="61" s="1"/>
  <c r="H169" i="61" s="1"/>
  <c r="C22" i="22" l="1"/>
  <c r="E20" i="22"/>
  <c r="G18" i="22"/>
  <c r="D17" i="22"/>
  <c r="G17" i="22" s="1"/>
  <c r="F33" i="30"/>
  <c r="F34" i="30" s="1"/>
  <c r="M29" i="61"/>
  <c r="R29" i="61"/>
  <c r="U29" i="61"/>
  <c r="X29" i="61"/>
  <c r="H44" i="61"/>
  <c r="H129" i="61"/>
  <c r="H96" i="61"/>
  <c r="H121" i="61"/>
  <c r="H123" i="61"/>
  <c r="H48" i="61"/>
  <c r="H185" i="61"/>
  <c r="H162" i="61"/>
  <c r="H198" i="61"/>
  <c r="H143" i="61"/>
  <c r="H204" i="61"/>
  <c r="H187" i="61"/>
  <c r="H203" i="61"/>
  <c r="H164" i="61"/>
  <c r="H127" i="61"/>
  <c r="H57" i="61"/>
  <c r="H76" i="61"/>
  <c r="H120" i="61"/>
  <c r="H158" i="61"/>
  <c r="H103" i="61"/>
  <c r="H59" i="61"/>
  <c r="H201" i="61"/>
  <c r="H95" i="61"/>
  <c r="H124" i="61"/>
  <c r="H165" i="61"/>
  <c r="H159" i="61"/>
  <c r="H174" i="61"/>
  <c r="H131" i="61"/>
  <c r="H3" i="61"/>
  <c r="H6" i="61"/>
  <c r="H5" i="61"/>
  <c r="H9" i="61"/>
  <c r="H4" i="61"/>
  <c r="H8" i="61"/>
  <c r="H7" i="61"/>
  <c r="H17" i="61"/>
  <c r="H14" i="61"/>
  <c r="H26" i="61"/>
  <c r="H10" i="61"/>
  <c r="H70" i="61"/>
  <c r="H104" i="61"/>
  <c r="H39" i="61"/>
  <c r="H43" i="61"/>
  <c r="H90" i="61"/>
  <c r="H99" i="61"/>
  <c r="H51" i="61"/>
  <c r="H12" i="61"/>
  <c r="H50" i="61"/>
  <c r="H11" i="61"/>
  <c r="H147" i="61"/>
  <c r="H27" i="61"/>
  <c r="H37" i="61"/>
  <c r="H49" i="61"/>
  <c r="H23" i="61"/>
  <c r="H46" i="61"/>
  <c r="H25" i="61"/>
  <c r="H107" i="61"/>
  <c r="H42" i="61"/>
  <c r="H72" i="61"/>
  <c r="H60" i="61"/>
  <c r="H36" i="61"/>
  <c r="H47" i="61"/>
  <c r="H15" i="61"/>
  <c r="H18" i="61"/>
  <c r="H45" i="61"/>
  <c r="H30" i="61"/>
  <c r="H133" i="61"/>
  <c r="H31" i="61"/>
  <c r="H19" i="61"/>
  <c r="H16" i="61"/>
  <c r="H89" i="61"/>
  <c r="H98" i="61"/>
  <c r="H24" i="61"/>
  <c r="H29" i="61"/>
  <c r="H71" i="61"/>
  <c r="H13" i="61"/>
  <c r="H20" i="61"/>
  <c r="H55" i="61"/>
  <c r="H65" i="61"/>
  <c r="H54" i="61"/>
  <c r="H21" i="61"/>
  <c r="H35" i="61"/>
  <c r="H109" i="61"/>
  <c r="H40" i="61"/>
  <c r="H52" i="61"/>
  <c r="H77" i="61"/>
  <c r="H83" i="61"/>
  <c r="H32" i="61"/>
  <c r="H33" i="61"/>
  <c r="H38" i="61"/>
  <c r="H81" i="61"/>
  <c r="H22" i="61"/>
  <c r="H53" i="61"/>
  <c r="H87" i="61"/>
  <c r="H28" i="61"/>
  <c r="H34" i="61"/>
  <c r="H56" i="61"/>
  <c r="H186" i="61"/>
  <c r="H114" i="61"/>
  <c r="H153" i="61"/>
  <c r="H75" i="61"/>
  <c r="H166" i="61"/>
  <c r="H163" i="61"/>
  <c r="H205" i="61"/>
  <c r="H126" i="61"/>
  <c r="H91" i="61"/>
  <c r="H154" i="61"/>
  <c r="H150" i="61"/>
  <c r="H144" i="61"/>
  <c r="H88" i="61"/>
  <c r="H188" i="61"/>
  <c r="H101" i="61"/>
  <c r="H116" i="61"/>
  <c r="H135" i="61"/>
  <c r="H68" i="61"/>
  <c r="H152" i="61"/>
  <c r="H141" i="61"/>
  <c r="H190" i="61"/>
  <c r="H80" i="61"/>
  <c r="H130" i="61"/>
  <c r="H85" i="61"/>
  <c r="H79" i="61"/>
  <c r="H176" i="61"/>
  <c r="H197" i="61"/>
  <c r="H148" i="61"/>
  <c r="H179" i="61"/>
  <c r="H118" i="61"/>
  <c r="H92" i="61"/>
  <c r="H155" i="61"/>
  <c r="H171" i="61"/>
  <c r="H139" i="61"/>
  <c r="H136" i="61"/>
  <c r="H177" i="61"/>
  <c r="H58" i="61"/>
  <c r="H94" i="61"/>
  <c r="H200" i="61"/>
  <c r="H117" i="61"/>
  <c r="H194" i="61"/>
  <c r="H183" i="61"/>
  <c r="H78" i="61"/>
  <c r="H66" i="61"/>
  <c r="H73" i="61"/>
  <c r="H119" i="61"/>
  <c r="H134" i="61"/>
  <c r="H102" i="61"/>
  <c r="H191" i="61"/>
  <c r="H184" i="61"/>
  <c r="H113" i="61"/>
  <c r="H199" i="61"/>
  <c r="H74" i="61"/>
  <c r="H106" i="61"/>
  <c r="H137" i="61"/>
  <c r="H125" i="61"/>
  <c r="H69" i="61"/>
  <c r="H160" i="61"/>
  <c r="H196" i="61"/>
  <c r="H175" i="61"/>
  <c r="H111" i="61"/>
  <c r="H132" i="61"/>
  <c r="H100" i="61"/>
  <c r="H41" i="61"/>
  <c r="H122" i="61"/>
  <c r="H192" i="61"/>
  <c r="H61" i="61"/>
  <c r="H62" i="61"/>
  <c r="H195" i="61"/>
  <c r="H156" i="61"/>
  <c r="H64" i="61"/>
  <c r="H128" i="61"/>
  <c r="H178" i="61"/>
  <c r="H157" i="61"/>
  <c r="H112" i="61"/>
  <c r="H167" i="61"/>
  <c r="H108" i="61"/>
  <c r="H82" i="61"/>
  <c r="H173" i="61"/>
  <c r="H115" i="61"/>
  <c r="H146" i="61"/>
  <c r="H105" i="61"/>
  <c r="H151" i="61"/>
  <c r="H93" i="61"/>
  <c r="H170" i="61"/>
  <c r="H97" i="61"/>
  <c r="H193" i="61"/>
  <c r="H84" i="61"/>
  <c r="H182" i="61"/>
  <c r="H142" i="61"/>
  <c r="H168" i="61"/>
  <c r="H67" i="61"/>
  <c r="H180" i="61"/>
  <c r="H161" i="61"/>
  <c r="H110" i="61"/>
  <c r="H138" i="61"/>
  <c r="H181" i="61"/>
  <c r="H202" i="61"/>
  <c r="H63" i="61"/>
  <c r="H149" i="61"/>
  <c r="H140" i="61"/>
  <c r="H189" i="61"/>
  <c r="H86" i="61"/>
  <c r="H172" i="61"/>
  <c r="H145" i="61"/>
  <c r="E23" i="22" l="1"/>
  <c r="G20" i="22"/>
  <c r="N14" i="62"/>
  <c r="D19" i="22"/>
  <c r="G19" i="22" s="1"/>
  <c r="C24" i="22"/>
  <c r="M30" i="61"/>
  <c r="X30" i="61"/>
  <c r="R30" i="61"/>
  <c r="U30" i="61"/>
  <c r="G2" i="61"/>
  <c r="E25" i="22" l="1"/>
  <c r="G23" i="22"/>
  <c r="N2" i="62"/>
  <c r="F13" i="38"/>
  <c r="N79" i="62" s="1"/>
  <c r="D22" i="22"/>
  <c r="G22" i="22" s="1"/>
  <c r="F16" i="54"/>
  <c r="V121" i="62" s="1"/>
  <c r="C26" i="22"/>
  <c r="M31" i="61"/>
  <c r="U31" i="61"/>
  <c r="X31" i="61"/>
  <c r="R31" i="61"/>
  <c r="E27" i="22" l="1"/>
  <c r="G25" i="22"/>
  <c r="F24" i="38"/>
  <c r="F25" i="38" s="1"/>
  <c r="F26" i="38" s="1"/>
  <c r="N71" i="62"/>
  <c r="D24" i="22"/>
  <c r="G24" i="22" s="1"/>
  <c r="F17" i="54"/>
  <c r="F18" i="54" s="1"/>
  <c r="AA121" i="62" s="1"/>
  <c r="C29" i="22"/>
  <c r="M32" i="61"/>
  <c r="U32" i="61"/>
  <c r="X32" i="61"/>
  <c r="R32" i="61"/>
  <c r="E30" i="22" l="1"/>
  <c r="G27" i="22"/>
  <c r="D26" i="22"/>
  <c r="G26" i="22" s="1"/>
  <c r="F27" i="38"/>
  <c r="F36" i="30" s="1"/>
  <c r="F38" i="30" s="1"/>
  <c r="R121" i="62"/>
  <c r="F28" i="38"/>
  <c r="N72" i="62" s="1"/>
  <c r="C31" i="22"/>
  <c r="M33" i="61"/>
  <c r="U33" i="61"/>
  <c r="X33" i="61"/>
  <c r="R33" i="61"/>
  <c r="E32" i="22" l="1"/>
  <c r="G30" i="22"/>
  <c r="D29" i="22"/>
  <c r="G29" i="22" s="1"/>
  <c r="N73" i="62"/>
  <c r="C33" i="22"/>
  <c r="B11" i="62"/>
  <c r="M34" i="61"/>
  <c r="U34" i="61"/>
  <c r="R34" i="61"/>
  <c r="X34" i="61"/>
  <c r="E34" i="22" l="1"/>
  <c r="G32" i="22"/>
  <c r="D31" i="22"/>
  <c r="G31" i="22" s="1"/>
  <c r="B7" i="62"/>
  <c r="E12" i="31"/>
  <c r="D24" i="31" s="1"/>
  <c r="D29" i="31" s="1"/>
  <c r="C36" i="22"/>
  <c r="M35" i="61"/>
  <c r="R35" i="61"/>
  <c r="U35" i="61"/>
  <c r="X35" i="61"/>
  <c r="C38" i="22" l="1"/>
  <c r="E37" i="22"/>
  <c r="G34" i="22"/>
  <c r="D33" i="22"/>
  <c r="G33" i="22" s="1"/>
  <c r="B9" i="62"/>
  <c r="B17" i="62"/>
  <c r="M36" i="61"/>
  <c r="R36" i="61"/>
  <c r="U36" i="61"/>
  <c r="X36" i="61"/>
  <c r="E39" i="22" l="1"/>
  <c r="G37" i="22"/>
  <c r="C40" i="22"/>
  <c r="D25" i="31"/>
  <c r="D36" i="22"/>
  <c r="G36" i="22" s="1"/>
  <c r="B10" i="62"/>
  <c r="B35" i="62"/>
  <c r="M37" i="61"/>
  <c r="X37" i="61"/>
  <c r="R37" i="61"/>
  <c r="U37" i="61"/>
  <c r="D28" i="31" l="1"/>
  <c r="D31" i="31" s="1"/>
  <c r="B83" i="62" s="1"/>
  <c r="B81" i="62"/>
  <c r="C43" i="22"/>
  <c r="E41" i="22"/>
  <c r="G41" i="22" s="1"/>
  <c r="G39" i="22"/>
  <c r="D38" i="22"/>
  <c r="D30" i="31"/>
  <c r="M38" i="61"/>
  <c r="X38" i="61"/>
  <c r="U38" i="61"/>
  <c r="R38" i="61"/>
  <c r="D48" i="31" l="1"/>
  <c r="D55" i="32" s="1"/>
  <c r="B114" i="62" s="1"/>
  <c r="B82" i="62"/>
  <c r="D40" i="22"/>
  <c r="G38" i="22"/>
  <c r="C4" i="22"/>
  <c r="C5" i="22" s="1"/>
  <c r="B32" i="62"/>
  <c r="M39" i="61"/>
  <c r="X39" i="61"/>
  <c r="R39" i="61"/>
  <c r="U39" i="61"/>
  <c r="B14" i="22" l="1"/>
  <c r="B21" i="22"/>
  <c r="D43" i="22"/>
  <c r="G43" i="22" s="1"/>
  <c r="G40" i="22"/>
  <c r="B46" i="62"/>
  <c r="B9" i="22"/>
  <c r="G9" i="22" s="1"/>
  <c r="M40" i="61"/>
  <c r="U40" i="61"/>
  <c r="R40" i="61"/>
  <c r="X40" i="61"/>
  <c r="B35" i="22" l="1"/>
  <c r="G35" i="22" s="1"/>
  <c r="G21" i="22"/>
  <c r="B28" i="22"/>
  <c r="G14" i="22"/>
  <c r="B102" i="62"/>
  <c r="B105" i="62"/>
  <c r="B95" i="62"/>
  <c r="B118" i="62"/>
  <c r="B110" i="62"/>
  <c r="B99" i="62"/>
  <c r="B120" i="62"/>
  <c r="B116" i="62"/>
  <c r="B112" i="62"/>
  <c r="B107" i="62"/>
  <c r="B97" i="62"/>
  <c r="B111" i="62"/>
  <c r="B101" i="62"/>
  <c r="B93" i="62"/>
  <c r="B117" i="62"/>
  <c r="B113" i="62"/>
  <c r="B109" i="62"/>
  <c r="B119" i="62"/>
  <c r="B115" i="62"/>
  <c r="B90" i="62"/>
  <c r="G57" i="32"/>
  <c r="B106" i="62" s="1"/>
  <c r="C57" i="32"/>
  <c r="B58" i="32"/>
  <c r="B59" i="32"/>
  <c r="C56" i="32"/>
  <c r="M41" i="61"/>
  <c r="U41" i="61"/>
  <c r="R41" i="61"/>
  <c r="X41" i="61"/>
  <c r="B42" i="22" l="1"/>
  <c r="G42" i="22" s="1"/>
  <c r="G28" i="22"/>
  <c r="M42" i="61"/>
  <c r="R42" i="61"/>
  <c r="X42" i="61"/>
  <c r="U42" i="61"/>
  <c r="M43" i="61" l="1"/>
  <c r="U43" i="61"/>
  <c r="X43" i="61"/>
  <c r="R43" i="61"/>
  <c r="M44" i="61" l="1"/>
  <c r="R44" i="61"/>
  <c r="X44" i="61"/>
  <c r="U44" i="61"/>
  <c r="M45" i="61" l="1"/>
  <c r="X45" i="61"/>
  <c r="R45" i="61"/>
  <c r="U45" i="61"/>
  <c r="M46" i="61" l="1"/>
  <c r="R46" i="61"/>
  <c r="U46" i="61"/>
  <c r="X46" i="61"/>
  <c r="M47" i="61" l="1"/>
  <c r="U47" i="61"/>
  <c r="X47" i="61"/>
  <c r="R47" i="61"/>
  <c r="M48" i="61" l="1"/>
  <c r="R48" i="61"/>
  <c r="X48" i="61"/>
  <c r="U48" i="61"/>
  <c r="M49" i="61" l="1"/>
  <c r="U49" i="61"/>
  <c r="R49" i="61"/>
  <c r="X49" i="61"/>
  <c r="M50" i="61" l="1"/>
  <c r="U50" i="61"/>
  <c r="R50" i="61"/>
  <c r="X50" i="61"/>
  <c r="M51" i="61" l="1"/>
  <c r="X51" i="61"/>
  <c r="U51" i="61"/>
  <c r="R51" i="61"/>
  <c r="M52" i="61" l="1"/>
  <c r="X52" i="61"/>
  <c r="R52" i="61"/>
  <c r="U52" i="61"/>
  <c r="M53" i="61" l="1"/>
  <c r="X53" i="61"/>
  <c r="R53" i="61"/>
  <c r="U53" i="61"/>
  <c r="M54" i="61" l="1"/>
  <c r="U54" i="61"/>
  <c r="R54" i="61"/>
  <c r="X54" i="61"/>
  <c r="M55" i="61" l="1"/>
  <c r="X55" i="61"/>
  <c r="U55" i="61"/>
  <c r="R55" i="61"/>
  <c r="M56" i="61" l="1"/>
  <c r="R56" i="61"/>
  <c r="X56" i="61"/>
  <c r="U56" i="61"/>
  <c r="M57" i="61" l="1"/>
  <c r="R57" i="61"/>
  <c r="X57" i="61"/>
  <c r="U57" i="61"/>
  <c r="M58" i="61" l="1"/>
  <c r="U58" i="61"/>
  <c r="R58" i="61"/>
  <c r="X58" i="61"/>
  <c r="M59" i="61" l="1"/>
  <c r="X59" i="61"/>
  <c r="U59" i="61"/>
  <c r="R59" i="61"/>
  <c r="M60" i="61" l="1"/>
  <c r="R60" i="61"/>
  <c r="U60" i="61"/>
  <c r="X60" i="61"/>
  <c r="M61" i="61" l="1"/>
  <c r="X61" i="61"/>
  <c r="R61" i="61"/>
  <c r="U61" i="61"/>
  <c r="M62" i="61" l="1"/>
  <c r="U62" i="61"/>
  <c r="X62" i="61"/>
  <c r="R62" i="61"/>
  <c r="M63" i="61" l="1"/>
  <c r="X63" i="61"/>
  <c r="U63" i="61"/>
  <c r="R63" i="61"/>
  <c r="M64" i="61" l="1"/>
  <c r="X64" i="61"/>
  <c r="U64" i="61"/>
  <c r="R64" i="61"/>
  <c r="M65" i="61" l="1"/>
  <c r="U65" i="61"/>
  <c r="R65" i="61"/>
  <c r="X65" i="61"/>
  <c r="M66" i="61" l="1"/>
  <c r="R66" i="61"/>
  <c r="U66" i="61"/>
  <c r="X66" i="61"/>
  <c r="M67" i="61" l="1"/>
  <c r="X67" i="61"/>
  <c r="R67" i="61"/>
  <c r="U67" i="61"/>
  <c r="M68" i="61" l="1"/>
  <c r="U68" i="61"/>
  <c r="R68" i="61"/>
  <c r="X68" i="61"/>
  <c r="M69" i="61" l="1"/>
  <c r="R69" i="61"/>
  <c r="X69" i="61"/>
  <c r="U69" i="61"/>
  <c r="M70" i="61" l="1"/>
  <c r="R70" i="61"/>
  <c r="U70" i="61"/>
  <c r="X70" i="61"/>
  <c r="M71" i="61" l="1"/>
  <c r="U71" i="61"/>
  <c r="X71" i="61"/>
  <c r="R71" i="61"/>
  <c r="M72" i="61" l="1"/>
  <c r="R72" i="61"/>
  <c r="X72" i="61"/>
  <c r="U72" i="61"/>
  <c r="M73" i="61" l="1"/>
  <c r="U73" i="61"/>
  <c r="R73" i="61"/>
  <c r="X73" i="61"/>
  <c r="M74" i="61" l="1"/>
  <c r="U74" i="61"/>
  <c r="R74" i="61"/>
  <c r="X74" i="61"/>
  <c r="M75" i="61" l="1"/>
  <c r="X75" i="61"/>
  <c r="R75" i="61"/>
  <c r="U75" i="61"/>
  <c r="M76" i="61" l="1"/>
  <c r="R76" i="61"/>
  <c r="U76" i="61"/>
  <c r="X76" i="61"/>
  <c r="M77" i="61" l="1"/>
  <c r="X77" i="61"/>
  <c r="R77" i="61"/>
  <c r="U77" i="61"/>
  <c r="M78" i="61" l="1"/>
  <c r="U78" i="61"/>
  <c r="R78" i="61"/>
  <c r="X78" i="61"/>
  <c r="M79" i="61" l="1"/>
  <c r="X79" i="61"/>
  <c r="R79" i="61"/>
  <c r="U79" i="61"/>
  <c r="M80" i="61" l="1"/>
  <c r="X80" i="61"/>
  <c r="U80" i="61"/>
  <c r="R80" i="61"/>
  <c r="M81" i="61" l="1"/>
  <c r="R81" i="61"/>
  <c r="X81" i="61"/>
  <c r="U81" i="61"/>
  <c r="M82" i="61" l="1"/>
  <c r="U82" i="61"/>
  <c r="R82" i="61"/>
  <c r="X82" i="61"/>
  <c r="M83" i="61" l="1"/>
  <c r="U83" i="61"/>
  <c r="X83" i="61"/>
  <c r="R83" i="61"/>
  <c r="M84" i="61" l="1"/>
  <c r="R84" i="61"/>
  <c r="U84" i="61"/>
  <c r="X84" i="61"/>
  <c r="M85" i="61" l="1"/>
  <c r="X85" i="61"/>
  <c r="R85" i="61"/>
  <c r="U85" i="61"/>
  <c r="M86" i="61" l="1"/>
  <c r="X86" i="61"/>
  <c r="U86" i="61"/>
  <c r="R86" i="61"/>
  <c r="M87" i="61" l="1"/>
  <c r="U87" i="61"/>
  <c r="X87" i="61"/>
  <c r="R87" i="61"/>
  <c r="M88" i="61" l="1"/>
  <c r="X88" i="61"/>
  <c r="U88" i="61"/>
  <c r="R88" i="61"/>
  <c r="M89" i="61" l="1"/>
  <c r="U89" i="61"/>
  <c r="R89" i="61"/>
  <c r="X89" i="61"/>
  <c r="M90" i="61" l="1"/>
  <c r="U90" i="61"/>
  <c r="X90" i="61"/>
  <c r="R90" i="61"/>
  <c r="M91" i="61" l="1"/>
  <c r="X91" i="61"/>
  <c r="U91" i="61"/>
  <c r="R91" i="61"/>
  <c r="M92" i="61" l="1"/>
  <c r="X92" i="61"/>
  <c r="U92" i="61"/>
  <c r="R92" i="61"/>
  <c r="M93" i="61" l="1"/>
  <c r="U93" i="61"/>
  <c r="X93" i="61"/>
  <c r="R93" i="61"/>
  <c r="M94" i="61" l="1"/>
  <c r="U94" i="61"/>
  <c r="X94" i="61"/>
  <c r="R94" i="61"/>
  <c r="M95" i="61" l="1"/>
  <c r="U95" i="61"/>
  <c r="R95" i="61"/>
  <c r="X95" i="61"/>
  <c r="M96" i="61" l="1"/>
  <c r="R96" i="61"/>
  <c r="U96" i="61"/>
  <c r="X96" i="61"/>
  <c r="M97" i="61" l="1"/>
  <c r="R97" i="61"/>
  <c r="X97" i="61"/>
  <c r="U97" i="61"/>
  <c r="M98" i="61" l="1"/>
  <c r="X98" i="61"/>
  <c r="R98" i="61"/>
  <c r="U98" i="61"/>
  <c r="M99" i="61" l="1"/>
  <c r="X99" i="61"/>
  <c r="U99" i="61"/>
  <c r="R99" i="61"/>
  <c r="M100" i="61" l="1"/>
  <c r="U100" i="61"/>
  <c r="R100" i="61"/>
  <c r="X100" i="61"/>
  <c r="M101" i="61" l="1"/>
  <c r="X101" i="61"/>
  <c r="R101" i="61"/>
  <c r="U101" i="61"/>
  <c r="M102" i="61" l="1"/>
  <c r="R102" i="61"/>
  <c r="U102" i="61"/>
  <c r="X102" i="61"/>
  <c r="M103" i="61" l="1"/>
  <c r="U103" i="61"/>
  <c r="X103" i="61"/>
  <c r="R103" i="61"/>
  <c r="M104" i="61" l="1"/>
  <c r="U104" i="61"/>
  <c r="R104" i="61"/>
  <c r="X104" i="61"/>
  <c r="M105" i="61" l="1"/>
  <c r="U105" i="61"/>
  <c r="X105" i="61"/>
  <c r="R105" i="61"/>
  <c r="M106" i="61" l="1"/>
  <c r="X106" i="61"/>
  <c r="R106" i="61"/>
  <c r="U106" i="61"/>
  <c r="M107" i="61" l="1"/>
  <c r="X107" i="61"/>
  <c r="U107" i="61"/>
  <c r="R107" i="61"/>
  <c r="M108" i="61" l="1"/>
  <c r="R108" i="61"/>
  <c r="X108" i="61"/>
  <c r="U108" i="61"/>
  <c r="M109" i="61" l="1"/>
  <c r="U109" i="61"/>
  <c r="X109" i="61"/>
  <c r="R109" i="61"/>
  <c r="M110" i="61" l="1"/>
  <c r="X110" i="61"/>
  <c r="U110" i="61"/>
  <c r="R110" i="61"/>
  <c r="M111" i="61" l="1"/>
  <c r="U111" i="61"/>
  <c r="X111" i="61"/>
  <c r="R111" i="61"/>
  <c r="M112" i="61" l="1"/>
  <c r="R112" i="61"/>
  <c r="U112" i="61"/>
  <c r="X112" i="61"/>
  <c r="M113" i="61" l="1"/>
  <c r="U113" i="61"/>
  <c r="X113" i="61"/>
  <c r="R113" i="61"/>
  <c r="M114" i="61" l="1"/>
  <c r="R114" i="61"/>
  <c r="X114" i="61"/>
  <c r="U114" i="61"/>
  <c r="M115" i="61" l="1"/>
  <c r="U115" i="61"/>
  <c r="X115" i="61"/>
  <c r="R115" i="61"/>
  <c r="M116" i="61" l="1"/>
  <c r="U116" i="61"/>
  <c r="X116" i="61"/>
  <c r="R116" i="61"/>
  <c r="M117" i="61" l="1"/>
  <c r="X117" i="61"/>
  <c r="U117" i="61"/>
  <c r="R117" i="61"/>
  <c r="M118" i="61" l="1"/>
  <c r="X118" i="61"/>
  <c r="U118" i="61"/>
  <c r="R118" i="61"/>
  <c r="M119" i="61" l="1"/>
  <c r="X119" i="61"/>
  <c r="U119" i="61"/>
  <c r="R119" i="61"/>
  <c r="M120" i="61" l="1"/>
  <c r="X120" i="61"/>
  <c r="U120" i="61"/>
  <c r="R120" i="61"/>
  <c r="M121" i="61" l="1"/>
  <c r="U121" i="61"/>
  <c r="X121" i="61"/>
  <c r="R121" i="61"/>
  <c r="M122" i="61" l="1"/>
  <c r="R122" i="61"/>
  <c r="U122" i="61"/>
  <c r="X122" i="61"/>
  <c r="M123" i="61" l="1"/>
  <c r="R123" i="61"/>
  <c r="X123" i="61"/>
  <c r="U123" i="61"/>
  <c r="M124" i="61" l="1"/>
  <c r="U124" i="61"/>
  <c r="X124" i="61"/>
  <c r="R124" i="61"/>
  <c r="M125" i="61" l="1"/>
  <c r="R125" i="61"/>
  <c r="X125" i="61"/>
  <c r="U125" i="61"/>
  <c r="M126" i="61" l="1"/>
  <c r="X126" i="61"/>
  <c r="U126" i="61"/>
  <c r="R126" i="61"/>
  <c r="M127" i="61" l="1"/>
  <c r="U127" i="61"/>
  <c r="X127" i="61"/>
  <c r="R127" i="61"/>
  <c r="M128" i="61" l="1"/>
  <c r="R128" i="61"/>
  <c r="X128" i="61"/>
  <c r="U128" i="61"/>
  <c r="M129" i="61" l="1"/>
  <c r="X129" i="61"/>
  <c r="U129" i="61"/>
  <c r="R129" i="61"/>
  <c r="M130" i="61" l="1"/>
  <c r="X130" i="61"/>
  <c r="R130" i="61"/>
  <c r="U130" i="61"/>
  <c r="M131" i="61" l="1"/>
  <c r="X131" i="61"/>
  <c r="R131" i="61"/>
  <c r="U131" i="61"/>
  <c r="M132" i="61" l="1"/>
  <c r="R132" i="61"/>
  <c r="X132" i="61"/>
  <c r="U132" i="61"/>
  <c r="M133" i="61" l="1"/>
  <c r="X133" i="61"/>
  <c r="R133" i="61"/>
  <c r="U133" i="61"/>
  <c r="M134" i="61" l="1"/>
  <c r="U134" i="61"/>
  <c r="X134" i="61"/>
  <c r="R134" i="61"/>
  <c r="M135" i="61" l="1"/>
  <c r="X135" i="61"/>
  <c r="U135" i="61"/>
  <c r="R135" i="61"/>
  <c r="M136" i="61" l="1"/>
  <c r="U136" i="61"/>
  <c r="X136" i="61"/>
  <c r="R136" i="61"/>
  <c r="M137" i="61" l="1"/>
  <c r="X137" i="61"/>
  <c r="R137" i="61"/>
  <c r="U137" i="61"/>
  <c r="M138" i="61" l="1"/>
  <c r="U138" i="61"/>
  <c r="R138" i="61"/>
  <c r="X138" i="61"/>
  <c r="M139" i="61" l="1"/>
  <c r="X139" i="61"/>
  <c r="U139" i="61"/>
  <c r="R139" i="61"/>
  <c r="M140" i="61" l="1"/>
  <c r="U140" i="61"/>
  <c r="X140" i="61"/>
  <c r="R140" i="61"/>
  <c r="M141" i="61" l="1"/>
  <c r="U141" i="61"/>
  <c r="R141" i="61"/>
  <c r="X141" i="61"/>
  <c r="M142" i="61" l="1"/>
  <c r="X142" i="61"/>
  <c r="U142" i="61"/>
  <c r="R142" i="61"/>
  <c r="M143" i="61" l="1"/>
  <c r="R143" i="61"/>
  <c r="X143" i="61"/>
  <c r="U143" i="61"/>
  <c r="M144" i="61" l="1"/>
  <c r="R144" i="61"/>
  <c r="U144" i="61"/>
  <c r="X144" i="61"/>
  <c r="M145" i="61" l="1"/>
  <c r="U145" i="61"/>
  <c r="X145" i="61"/>
  <c r="R145" i="61"/>
  <c r="M146" i="61" l="1"/>
  <c r="R146" i="61"/>
  <c r="U146" i="61"/>
  <c r="X146" i="61"/>
  <c r="M147" i="61" l="1"/>
  <c r="X147" i="61"/>
  <c r="U147" i="61"/>
  <c r="R147" i="61"/>
  <c r="M148" i="61" l="1"/>
  <c r="X148" i="61"/>
  <c r="R148" i="61"/>
  <c r="U148" i="61"/>
  <c r="M149" i="61" l="1"/>
  <c r="X149" i="61"/>
  <c r="R149" i="61"/>
  <c r="U149" i="61"/>
  <c r="M150" i="61" l="1"/>
  <c r="R150" i="61"/>
  <c r="X150" i="61"/>
  <c r="U150" i="61"/>
  <c r="M151" i="61" l="1"/>
  <c r="U151" i="61"/>
  <c r="X151" i="61"/>
  <c r="R151" i="61"/>
  <c r="M152" i="61" l="1"/>
  <c r="X152" i="61"/>
  <c r="R152" i="61"/>
  <c r="U152" i="61"/>
  <c r="M153" i="61" l="1"/>
  <c r="X153" i="61"/>
  <c r="R153" i="61"/>
  <c r="U153" i="61"/>
  <c r="M154" i="61" l="1"/>
  <c r="X154" i="61"/>
  <c r="U154" i="61"/>
  <c r="R154" i="61"/>
  <c r="M155" i="61" l="1"/>
  <c r="X155" i="61"/>
  <c r="U155" i="61"/>
  <c r="R155" i="61"/>
  <c r="M156" i="61" l="1"/>
  <c r="X156" i="61"/>
  <c r="U156" i="61"/>
  <c r="R156" i="61"/>
  <c r="M157" i="61" l="1"/>
  <c r="U157" i="61"/>
  <c r="X157" i="61"/>
  <c r="R157" i="61"/>
  <c r="M158" i="61" l="1"/>
  <c r="X158" i="61"/>
  <c r="R158" i="61"/>
  <c r="U158" i="61"/>
  <c r="M159" i="61" l="1"/>
  <c r="R159" i="61"/>
  <c r="U159" i="61"/>
  <c r="X159" i="61"/>
  <c r="M160" i="61" l="1"/>
  <c r="U160" i="61"/>
  <c r="X160" i="61"/>
  <c r="R160" i="61"/>
  <c r="M161" i="61" l="1"/>
  <c r="U161" i="61"/>
  <c r="X161" i="61"/>
  <c r="R161" i="61"/>
  <c r="M162" i="61" l="1"/>
  <c r="X162" i="61"/>
  <c r="R162" i="61"/>
  <c r="U162" i="61"/>
  <c r="M163" i="61" l="1"/>
  <c r="X163" i="61"/>
  <c r="U163" i="61"/>
  <c r="R163" i="61"/>
  <c r="M164" i="61" l="1"/>
  <c r="R164" i="61"/>
  <c r="U164" i="61"/>
  <c r="X164" i="61"/>
  <c r="M165" i="61" l="1"/>
  <c r="X165" i="61"/>
  <c r="R165" i="61"/>
  <c r="U165" i="61"/>
  <c r="M166" i="61" l="1"/>
  <c r="U166" i="61"/>
  <c r="R166" i="61"/>
  <c r="X166" i="61"/>
  <c r="M167" i="61" l="1"/>
  <c r="X167" i="61"/>
  <c r="R167" i="61"/>
  <c r="U167" i="61"/>
  <c r="M168" i="61" l="1"/>
  <c r="U168" i="61"/>
  <c r="X168" i="61"/>
  <c r="R168" i="61"/>
  <c r="M169" i="61" l="1"/>
  <c r="X169" i="61"/>
  <c r="U169" i="61"/>
  <c r="R169" i="61"/>
  <c r="M170" i="61" l="1"/>
  <c r="R170" i="61"/>
  <c r="U170" i="61"/>
  <c r="X170" i="61"/>
  <c r="M171" i="61" l="1"/>
  <c r="X171" i="61"/>
  <c r="U171" i="61"/>
  <c r="R171" i="61"/>
  <c r="M172" i="61" l="1"/>
  <c r="X172" i="61"/>
  <c r="U172" i="61"/>
  <c r="R172" i="61"/>
  <c r="M173" i="61" l="1"/>
  <c r="X173" i="61"/>
  <c r="U173" i="61"/>
  <c r="R173" i="61"/>
  <c r="M174" i="61" l="1"/>
  <c r="R174" i="61"/>
  <c r="U174" i="61"/>
  <c r="X174" i="61"/>
  <c r="M175" i="61" l="1"/>
  <c r="X175" i="61"/>
  <c r="R175" i="61"/>
  <c r="U175" i="61"/>
  <c r="M176" i="61" l="1"/>
  <c r="U176" i="61"/>
  <c r="X176" i="61"/>
  <c r="R176" i="61"/>
  <c r="M177" i="61" l="1"/>
  <c r="R177" i="61"/>
  <c r="U177" i="61"/>
  <c r="X177" i="61"/>
  <c r="M178" i="61" l="1"/>
  <c r="X178" i="61"/>
  <c r="U178" i="61"/>
  <c r="R178" i="61"/>
  <c r="M179" i="61" l="1"/>
  <c r="U179" i="61"/>
  <c r="R179" i="61"/>
  <c r="X179" i="61"/>
  <c r="M180" i="61" l="1"/>
  <c r="R180" i="61"/>
  <c r="U180" i="61"/>
  <c r="X180" i="61"/>
  <c r="M181" i="61" l="1"/>
  <c r="X181" i="61"/>
  <c r="U181" i="61"/>
  <c r="R181" i="61"/>
  <c r="M182" i="61" l="1"/>
  <c r="X182" i="61"/>
  <c r="R182" i="61"/>
  <c r="U182" i="61"/>
  <c r="M183" i="61" l="1"/>
  <c r="R183" i="61"/>
  <c r="U183" i="61"/>
  <c r="X183" i="61"/>
  <c r="M184" i="61" l="1"/>
  <c r="U184" i="61"/>
  <c r="R184" i="61"/>
  <c r="X184" i="61"/>
  <c r="M185" i="61" l="1"/>
  <c r="X185" i="61"/>
  <c r="R185" i="61"/>
  <c r="U185" i="61"/>
  <c r="M186" i="61" l="1"/>
  <c r="U186" i="61"/>
  <c r="X186" i="61"/>
  <c r="R186" i="61"/>
  <c r="M187" i="61" l="1"/>
  <c r="X187" i="61"/>
  <c r="R187" i="61"/>
  <c r="U187" i="61"/>
  <c r="M188" i="61" l="1"/>
  <c r="U188" i="61"/>
  <c r="R188" i="61"/>
  <c r="X188" i="61"/>
  <c r="M189" i="61" l="1"/>
  <c r="U189" i="61"/>
  <c r="X189" i="61"/>
  <c r="R189" i="61"/>
  <c r="M190" i="61" l="1"/>
  <c r="R190" i="61"/>
  <c r="U190" i="61"/>
  <c r="X190" i="61"/>
  <c r="M191" i="61" l="1"/>
  <c r="U191" i="61"/>
  <c r="R191" i="61"/>
  <c r="X191" i="61"/>
  <c r="M192" i="61" l="1"/>
  <c r="U192" i="61"/>
  <c r="X192" i="61"/>
  <c r="R192" i="61"/>
  <c r="M193" i="61" l="1"/>
  <c r="U193" i="61"/>
  <c r="X193" i="61"/>
  <c r="R193" i="61"/>
  <c r="M194" i="61" l="1"/>
  <c r="X194" i="61"/>
  <c r="U194" i="61"/>
  <c r="R194" i="61"/>
  <c r="M195" i="61" l="1"/>
  <c r="U195" i="61"/>
  <c r="R195" i="61"/>
  <c r="X195" i="61"/>
  <c r="M196" i="61" l="1"/>
  <c r="R196" i="61"/>
  <c r="X196" i="61"/>
  <c r="U196" i="61"/>
  <c r="M197" i="61" l="1"/>
  <c r="U197" i="61"/>
  <c r="X197" i="61"/>
  <c r="R197" i="61"/>
  <c r="M198" i="61" l="1"/>
  <c r="U198" i="61"/>
  <c r="R198" i="61"/>
  <c r="X198" i="61"/>
  <c r="M199" i="61" l="1"/>
  <c r="R199" i="61"/>
  <c r="X199" i="61"/>
  <c r="U199" i="61"/>
  <c r="M200" i="61" l="1"/>
  <c r="U200" i="61"/>
  <c r="R200" i="61"/>
  <c r="X200" i="61"/>
  <c r="M201" i="61" l="1"/>
  <c r="X201" i="61"/>
  <c r="U201" i="61"/>
  <c r="R201" i="61"/>
  <c r="M202" i="61" l="1"/>
  <c r="R202" i="61"/>
  <c r="U202" i="61"/>
  <c r="X202" i="61"/>
  <c r="M203" i="61" l="1"/>
  <c r="R203" i="61"/>
  <c r="X203" i="61"/>
  <c r="U203" i="61"/>
  <c r="M204" i="61" l="1"/>
  <c r="R204" i="61"/>
  <c r="U204" i="61"/>
  <c r="X204" i="61"/>
  <c r="M205" i="61" l="1"/>
  <c r="X205" i="61"/>
  <c r="R205" i="61"/>
  <c r="U205" i="61"/>
  <c r="M206" i="61" l="1"/>
  <c r="U206" i="61"/>
  <c r="R206" i="61"/>
  <c r="X206" i="61"/>
  <c r="M207" i="61" l="1"/>
  <c r="X207" i="61"/>
  <c r="U207" i="61"/>
  <c r="R207" i="61"/>
  <c r="M208" i="61" l="1"/>
  <c r="R208" i="61"/>
  <c r="X208" i="61"/>
  <c r="U208" i="61"/>
  <c r="M209" i="61" l="1"/>
  <c r="X209" i="61"/>
  <c r="U209" i="61"/>
  <c r="R209" i="61"/>
  <c r="M210" i="61" l="1"/>
  <c r="U210" i="61"/>
  <c r="R210" i="61"/>
  <c r="X210" i="61"/>
  <c r="M211" i="61" l="1"/>
  <c r="X211" i="61"/>
  <c r="R211" i="61"/>
  <c r="U211" i="61"/>
  <c r="M212" i="61" l="1"/>
  <c r="X212" i="61"/>
  <c r="U212" i="61"/>
  <c r="R212" i="61"/>
  <c r="M213" i="61" l="1"/>
  <c r="U213" i="61"/>
  <c r="R213" i="61"/>
  <c r="X213" i="61"/>
  <c r="M214" i="61" l="1"/>
  <c r="X214" i="61"/>
  <c r="U214" i="61"/>
  <c r="R214" i="61"/>
  <c r="M215" i="61" l="1"/>
  <c r="U215" i="61"/>
  <c r="R215" i="61"/>
  <c r="X215" i="61"/>
  <c r="M216" i="61" l="1"/>
  <c r="R216" i="61"/>
  <c r="U216" i="61"/>
  <c r="X216" i="61"/>
  <c r="M217" i="61" l="1"/>
  <c r="X217" i="61"/>
  <c r="U217" i="61"/>
  <c r="R217" i="61"/>
  <c r="M218" i="61" l="1"/>
  <c r="X218" i="61"/>
  <c r="U218" i="61"/>
  <c r="R218" i="61"/>
  <c r="M219" i="61" l="1"/>
  <c r="R219" i="61"/>
  <c r="X219" i="61"/>
  <c r="U219" i="61"/>
  <c r="M220" i="61" l="1"/>
  <c r="X220" i="61"/>
  <c r="R220" i="61"/>
  <c r="U220" i="61"/>
  <c r="M221" i="61" l="1"/>
  <c r="U221" i="61"/>
  <c r="X221" i="61"/>
  <c r="R221" i="61"/>
  <c r="M222" i="61" l="1"/>
  <c r="X222" i="61"/>
  <c r="R222" i="61"/>
  <c r="U222" i="61"/>
  <c r="M223" i="61" l="1"/>
  <c r="U223" i="61"/>
  <c r="X223" i="61"/>
  <c r="R223" i="61"/>
  <c r="M224" i="61" l="1"/>
  <c r="U224" i="61"/>
  <c r="R224" i="61"/>
  <c r="X224" i="61"/>
  <c r="M225" i="61" l="1"/>
  <c r="U225" i="61"/>
  <c r="R225" i="61"/>
  <c r="X225" i="61"/>
  <c r="M226" i="61" l="1"/>
  <c r="X226" i="61"/>
  <c r="U226" i="61"/>
  <c r="R226" i="61"/>
  <c r="M227" i="61" l="1"/>
  <c r="R227" i="61"/>
  <c r="X227" i="61"/>
  <c r="U227" i="61"/>
  <c r="M228" i="61" l="1"/>
  <c r="R228" i="61"/>
  <c r="U228" i="61"/>
  <c r="X228" i="61"/>
  <c r="M229" i="61" l="1"/>
  <c r="R229" i="61"/>
  <c r="U229" i="61"/>
  <c r="X229" i="61"/>
  <c r="M230" i="61" l="1"/>
  <c r="R230" i="61"/>
  <c r="X230" i="61"/>
  <c r="U230" i="61"/>
  <c r="M231" i="61" l="1"/>
  <c r="U231" i="61"/>
  <c r="X231" i="61"/>
  <c r="R231" i="61"/>
  <c r="M232" i="61" l="1"/>
  <c r="X232" i="61"/>
  <c r="R232" i="61"/>
  <c r="U232" i="61"/>
  <c r="M233" i="61" l="1"/>
  <c r="X233" i="61"/>
  <c r="R233" i="61"/>
  <c r="U233" i="61"/>
  <c r="M234" i="61" l="1"/>
  <c r="X234" i="61"/>
  <c r="R234" i="61"/>
  <c r="U234" i="61"/>
  <c r="M235" i="61" l="1"/>
  <c r="R235" i="61"/>
  <c r="U235" i="61"/>
  <c r="X235" i="61"/>
  <c r="M236" i="61" l="1"/>
  <c r="X236" i="61"/>
  <c r="R236" i="61"/>
  <c r="U236" i="61"/>
  <c r="M237" i="61" l="1"/>
  <c r="R237" i="61"/>
  <c r="U237" i="61"/>
  <c r="X237" i="61"/>
  <c r="M238" i="61" l="1"/>
  <c r="U238" i="61"/>
  <c r="R238" i="61"/>
  <c r="X238" i="61"/>
  <c r="M239" i="61" l="1"/>
  <c r="X239" i="61"/>
  <c r="U239" i="61"/>
  <c r="R239" i="61"/>
  <c r="M240" i="61" l="1"/>
  <c r="U240" i="61"/>
  <c r="R240" i="61"/>
  <c r="X240" i="61"/>
  <c r="M241" i="61" l="1"/>
  <c r="X241" i="61"/>
  <c r="R241" i="61"/>
  <c r="U241" i="61"/>
  <c r="M242" i="61" l="1"/>
  <c r="R242" i="61"/>
  <c r="X242" i="61"/>
  <c r="U242" i="61"/>
  <c r="M243" i="61" l="1"/>
  <c r="U243" i="61"/>
  <c r="R243" i="61"/>
  <c r="X243" i="61"/>
  <c r="M244" i="61" l="1"/>
  <c r="U244" i="61"/>
  <c r="R244" i="61"/>
  <c r="X244" i="61"/>
  <c r="M245" i="61" l="1"/>
  <c r="R245" i="61"/>
  <c r="U245" i="61"/>
  <c r="X245" i="61"/>
  <c r="M246" i="61" l="1"/>
  <c r="X246" i="61"/>
  <c r="U246" i="61"/>
  <c r="R246" i="61"/>
  <c r="M247" i="61" l="1"/>
  <c r="X247" i="61"/>
  <c r="U247" i="61"/>
  <c r="R247" i="61"/>
  <c r="M248" i="61" l="1"/>
  <c r="X248" i="61"/>
  <c r="R248" i="61"/>
  <c r="U248" i="61"/>
  <c r="M249" i="61" l="1"/>
  <c r="U249" i="61"/>
  <c r="X249" i="61"/>
  <c r="R249" i="61"/>
  <c r="M250" i="61" l="1"/>
  <c r="U250" i="61"/>
  <c r="X250" i="61"/>
  <c r="R250" i="61"/>
  <c r="M251" i="61" l="1"/>
  <c r="X251" i="61"/>
  <c r="R251" i="61"/>
  <c r="U251" i="61"/>
  <c r="M252" i="61" l="1"/>
  <c r="U252" i="61"/>
  <c r="R252" i="61"/>
  <c r="X252" i="61"/>
  <c r="M253" i="61" l="1"/>
  <c r="R253" i="61"/>
  <c r="X253" i="61"/>
  <c r="U253" i="61"/>
  <c r="M254" i="61" l="1"/>
  <c r="R254" i="61"/>
  <c r="X254" i="61"/>
  <c r="U254" i="61"/>
  <c r="M255" i="61" l="1"/>
  <c r="R255" i="61"/>
  <c r="U255" i="61"/>
  <c r="X255" i="61"/>
  <c r="M256" i="61" l="1"/>
  <c r="X256" i="61"/>
  <c r="U256" i="61"/>
  <c r="R256" i="61"/>
  <c r="M257" i="61" l="1"/>
  <c r="X257" i="61"/>
  <c r="U257" i="61"/>
  <c r="R257" i="61"/>
  <c r="M258" i="61" l="1"/>
  <c r="X258" i="61"/>
  <c r="R258" i="61"/>
  <c r="U258" i="61"/>
  <c r="M259" i="61" l="1"/>
  <c r="U259" i="61"/>
  <c r="R259" i="61"/>
  <c r="X259" i="61"/>
  <c r="M260" i="61" l="1"/>
  <c r="X260" i="61"/>
  <c r="U260" i="61"/>
  <c r="R260" i="61"/>
  <c r="M261" i="61" l="1"/>
  <c r="U261" i="61"/>
  <c r="X261" i="61"/>
  <c r="R261" i="61"/>
  <c r="M262" i="61" l="1"/>
  <c r="R262" i="61"/>
  <c r="U262" i="61"/>
  <c r="X262" i="61"/>
  <c r="M263" i="61" l="1"/>
  <c r="R263" i="61"/>
  <c r="U263" i="61"/>
  <c r="X263" i="61"/>
  <c r="M264" i="61" l="1"/>
  <c r="U264" i="61"/>
  <c r="R264" i="61"/>
  <c r="X264" i="61"/>
  <c r="M265" i="61" l="1"/>
  <c r="X265" i="61"/>
  <c r="R265" i="61"/>
  <c r="U265" i="61"/>
  <c r="M266" i="61" l="1"/>
  <c r="X266" i="61"/>
  <c r="U266" i="61"/>
  <c r="R266" i="61"/>
  <c r="M267" i="61" l="1"/>
  <c r="R267" i="61"/>
  <c r="X267" i="61"/>
  <c r="U267" i="61"/>
  <c r="M268" i="61" l="1"/>
  <c r="U268" i="61"/>
  <c r="X268" i="61"/>
  <c r="R268" i="61"/>
  <c r="M269" i="61" l="1"/>
  <c r="X269" i="61"/>
  <c r="R269" i="61"/>
  <c r="U269" i="61"/>
  <c r="M270" i="61" l="1"/>
  <c r="R270" i="61"/>
  <c r="X270" i="61"/>
  <c r="U270" i="61"/>
  <c r="M271" i="61" l="1"/>
  <c r="X271" i="61"/>
  <c r="U271" i="61"/>
  <c r="R271" i="61"/>
  <c r="M272" i="61" l="1"/>
  <c r="R272" i="61"/>
  <c r="X272" i="61"/>
  <c r="U272" i="61"/>
  <c r="M273" i="61" l="1"/>
  <c r="U273" i="61"/>
  <c r="X273" i="61"/>
  <c r="R273" i="61"/>
  <c r="M274" i="61" l="1"/>
  <c r="U274" i="61"/>
  <c r="X274" i="61"/>
  <c r="R274" i="61"/>
  <c r="M275" i="61" l="1"/>
  <c r="X275" i="61"/>
  <c r="R275" i="61"/>
  <c r="U275" i="61"/>
  <c r="M276" i="61" l="1"/>
  <c r="X276" i="61"/>
  <c r="R276" i="61"/>
  <c r="U276" i="61"/>
  <c r="M277" i="61" l="1"/>
  <c r="R277" i="61"/>
  <c r="U277" i="61"/>
  <c r="X277" i="61"/>
  <c r="M278" i="61" l="1"/>
  <c r="U278" i="61"/>
  <c r="X278" i="61"/>
  <c r="R278" i="61"/>
  <c r="M279" i="61" l="1"/>
  <c r="R279" i="61"/>
  <c r="X279" i="61"/>
  <c r="U279" i="61"/>
  <c r="M280" i="61" l="1"/>
  <c r="R280" i="61"/>
  <c r="X280" i="61"/>
  <c r="U280" i="61"/>
  <c r="M281" i="61" l="1"/>
  <c r="R281" i="61"/>
  <c r="U281" i="61"/>
  <c r="X281" i="61"/>
  <c r="M282" i="61" l="1"/>
  <c r="U282" i="61"/>
  <c r="X282" i="61"/>
  <c r="R282" i="61"/>
  <c r="M283" i="61" l="1"/>
  <c r="R283" i="61"/>
  <c r="U283" i="61"/>
  <c r="X283" i="61"/>
  <c r="M284" i="61" l="1"/>
  <c r="U284" i="61"/>
  <c r="X284" i="61"/>
  <c r="R284" i="61"/>
  <c r="M285" i="61" l="1"/>
  <c r="R285" i="61"/>
  <c r="U285" i="61"/>
  <c r="X285" i="61"/>
  <c r="M286" i="61" l="1"/>
  <c r="U286" i="61"/>
  <c r="R286" i="61"/>
  <c r="X286" i="61"/>
  <c r="M287" i="61" l="1"/>
  <c r="U287" i="61"/>
  <c r="R287" i="61"/>
  <c r="X287" i="61"/>
  <c r="M288" i="61" l="1"/>
  <c r="R288" i="61"/>
  <c r="X288" i="61"/>
  <c r="U288" i="61"/>
  <c r="M289" i="61" l="1"/>
  <c r="R289" i="61"/>
  <c r="X289" i="61"/>
  <c r="U289" i="61"/>
  <c r="M290" i="61" l="1"/>
  <c r="X290" i="61"/>
  <c r="U290" i="61"/>
  <c r="R290" i="61"/>
  <c r="M291" i="61" l="1"/>
  <c r="R291" i="61"/>
  <c r="X291" i="61"/>
  <c r="U291" i="61"/>
  <c r="M292" i="61" l="1"/>
  <c r="U292" i="61"/>
  <c r="R292" i="61"/>
  <c r="X292" i="61"/>
  <c r="M293" i="61" l="1"/>
  <c r="U293" i="61"/>
  <c r="X293" i="61"/>
  <c r="R293" i="61"/>
  <c r="M294" i="61" l="1"/>
  <c r="R294" i="61"/>
  <c r="X294" i="61"/>
  <c r="U294" i="61"/>
  <c r="M295" i="61" l="1"/>
  <c r="U295" i="61"/>
  <c r="X295" i="61"/>
  <c r="R295" i="61"/>
  <c r="M296" i="61" l="1"/>
  <c r="R296" i="61"/>
  <c r="X296" i="61"/>
  <c r="U296" i="61"/>
  <c r="M297" i="61" l="1"/>
  <c r="U297" i="61"/>
  <c r="R297" i="61"/>
  <c r="X297" i="61"/>
  <c r="M298" i="61" l="1"/>
  <c r="R298" i="61"/>
  <c r="U298" i="61"/>
  <c r="X298" i="61"/>
  <c r="M299" i="61" l="1"/>
  <c r="R299" i="61"/>
  <c r="X299" i="61"/>
  <c r="U299" i="61"/>
  <c r="M300" i="61" l="1"/>
  <c r="R300" i="61"/>
  <c r="X300" i="61"/>
  <c r="U300" i="61"/>
  <c r="M301" i="61" l="1"/>
  <c r="X301" i="61"/>
  <c r="U301" i="61"/>
  <c r="R301" i="61"/>
  <c r="M302" i="61" l="1"/>
  <c r="X302" i="61"/>
  <c r="U302" i="61"/>
  <c r="R302" i="61"/>
  <c r="M303" i="61" l="1"/>
  <c r="U303" i="61"/>
  <c r="R303" i="61"/>
  <c r="X303" i="61"/>
  <c r="M304" i="61" l="1"/>
  <c r="R304" i="61"/>
  <c r="U304" i="61"/>
  <c r="X304" i="61"/>
  <c r="M305" i="61" l="1"/>
  <c r="X305" i="61"/>
  <c r="R305" i="61"/>
  <c r="U305" i="61"/>
  <c r="M306" i="61" l="1"/>
  <c r="U306" i="61"/>
  <c r="X306" i="61"/>
  <c r="R306" i="61"/>
  <c r="M307" i="61" l="1"/>
  <c r="U307" i="61"/>
  <c r="R307" i="61"/>
  <c r="X307" i="61"/>
  <c r="M308" i="61" l="1"/>
  <c r="R308" i="61"/>
  <c r="X308" i="61"/>
  <c r="U308" i="61"/>
  <c r="M309" i="61" l="1"/>
  <c r="X309" i="61"/>
  <c r="R309" i="61"/>
  <c r="U309" i="61"/>
  <c r="M310" i="61" l="1"/>
  <c r="R310" i="61"/>
  <c r="X310" i="61"/>
  <c r="U310" i="61"/>
  <c r="M311" i="61" l="1"/>
  <c r="U311" i="61"/>
  <c r="X311" i="61"/>
  <c r="R311" i="61"/>
  <c r="M312" i="61" l="1"/>
  <c r="U312" i="61"/>
  <c r="X312" i="61"/>
  <c r="R312" i="61"/>
  <c r="M313" i="61" l="1"/>
  <c r="U313" i="61"/>
  <c r="R313" i="61"/>
  <c r="X313" i="61"/>
  <c r="M314" i="61" l="1"/>
  <c r="R314" i="61"/>
  <c r="X314" i="61"/>
  <c r="U314" i="61"/>
  <c r="M315" i="61" l="1"/>
  <c r="U315" i="61"/>
  <c r="R315" i="61"/>
  <c r="X315" i="61"/>
  <c r="M316" i="61" l="1"/>
  <c r="U316" i="61"/>
  <c r="R316" i="61"/>
  <c r="X316" i="61"/>
  <c r="M317" i="61" l="1"/>
  <c r="U317" i="61"/>
  <c r="R317" i="61"/>
  <c r="X317" i="61"/>
  <c r="M318" i="61" l="1"/>
  <c r="X318" i="61"/>
  <c r="R318" i="61"/>
  <c r="U318" i="61"/>
  <c r="M319" i="61" l="1"/>
  <c r="X319" i="61"/>
  <c r="U319" i="61"/>
  <c r="R319" i="61"/>
  <c r="M320" i="61" l="1"/>
  <c r="X320" i="61"/>
  <c r="U320" i="61"/>
  <c r="R320" i="61"/>
  <c r="M321" i="61" l="1"/>
  <c r="X321" i="61"/>
  <c r="R321" i="61"/>
  <c r="U321" i="61"/>
  <c r="M322" i="61" l="1"/>
  <c r="R322" i="61"/>
  <c r="U322" i="61"/>
  <c r="X322" i="61"/>
  <c r="M323" i="61" l="1"/>
  <c r="R323" i="61"/>
  <c r="U323" i="61"/>
  <c r="X323" i="61"/>
  <c r="M324" i="61" l="1"/>
  <c r="X324" i="61"/>
  <c r="R324" i="61"/>
  <c r="U324" i="61"/>
  <c r="M325" i="61" l="1"/>
  <c r="X325" i="61"/>
  <c r="R325" i="61"/>
  <c r="U325" i="61"/>
  <c r="M326" i="61" l="1"/>
  <c r="U326" i="61"/>
  <c r="X326" i="61"/>
  <c r="R326" i="61"/>
  <c r="M327" i="61" l="1"/>
  <c r="R327" i="61"/>
  <c r="U327" i="61"/>
  <c r="X327" i="61"/>
  <c r="M328" i="61" l="1"/>
  <c r="R328" i="61"/>
  <c r="U328" i="61"/>
  <c r="X328" i="61"/>
  <c r="M329" i="61" l="1"/>
  <c r="X329" i="61"/>
  <c r="U329" i="61"/>
  <c r="R329" i="61"/>
  <c r="M330" i="61" l="1"/>
  <c r="R330" i="61"/>
  <c r="U330" i="61"/>
  <c r="X330" i="61"/>
  <c r="M331" i="61" l="1"/>
  <c r="R331" i="61"/>
  <c r="U331" i="61"/>
  <c r="X331" i="61"/>
  <c r="M332" i="61" l="1"/>
  <c r="X332" i="61"/>
  <c r="R332" i="61"/>
  <c r="U332" i="61"/>
  <c r="M333" i="61" l="1"/>
  <c r="X333" i="61"/>
  <c r="R333" i="61"/>
  <c r="U333" i="61"/>
  <c r="M334" i="61" l="1"/>
  <c r="R334" i="61"/>
  <c r="X334" i="61"/>
  <c r="U334" i="61"/>
  <c r="M335" i="61" l="1"/>
  <c r="R335" i="61"/>
  <c r="X335" i="61"/>
  <c r="U335" i="61"/>
  <c r="M336" i="61" l="1"/>
  <c r="X336" i="61"/>
  <c r="U336" i="61"/>
  <c r="R336" i="61"/>
  <c r="M337" i="61" l="1"/>
  <c r="U337" i="61"/>
  <c r="X337" i="61"/>
  <c r="R337" i="61"/>
  <c r="M338" i="61" l="1"/>
  <c r="X338" i="61"/>
  <c r="R338" i="61"/>
  <c r="U338" i="61"/>
  <c r="M339" i="61" l="1"/>
  <c r="U339" i="61"/>
  <c r="R339" i="61"/>
  <c r="X339" i="61"/>
  <c r="M340" i="61" l="1"/>
  <c r="U340" i="61"/>
  <c r="X340" i="61"/>
  <c r="R340" i="61"/>
  <c r="M341" i="61" l="1"/>
  <c r="X341" i="61"/>
  <c r="R341" i="61"/>
  <c r="U341" i="61"/>
  <c r="M342" i="61" l="1"/>
  <c r="U342" i="61"/>
  <c r="X342" i="61"/>
  <c r="R342" i="61"/>
  <c r="M343" i="61" l="1"/>
  <c r="X343" i="61"/>
  <c r="R343" i="61"/>
  <c r="U343" i="61"/>
  <c r="M344" i="61" l="1"/>
  <c r="X344" i="61"/>
  <c r="U344" i="61"/>
  <c r="R344" i="61"/>
  <c r="M345" i="61" l="1"/>
  <c r="U345" i="61"/>
  <c r="X345" i="61"/>
  <c r="R345" i="61"/>
  <c r="M346" i="61" l="1"/>
  <c r="U346" i="61"/>
  <c r="R346" i="61"/>
  <c r="X346" i="61"/>
  <c r="M347" i="61" l="1"/>
  <c r="X347" i="61"/>
  <c r="R347" i="61"/>
  <c r="U347" i="61"/>
  <c r="M348" i="61" l="1"/>
  <c r="U348" i="61"/>
  <c r="R348" i="61"/>
  <c r="X348" i="61"/>
  <c r="M349" i="61" l="1"/>
  <c r="U349" i="61"/>
  <c r="X349" i="61"/>
  <c r="R349" i="61"/>
  <c r="M350" i="61" l="1"/>
  <c r="X350" i="61"/>
  <c r="U350" i="61"/>
  <c r="R350" i="61"/>
  <c r="M351" i="61" l="1"/>
  <c r="R351" i="61"/>
  <c r="X351" i="61"/>
  <c r="U351" i="61"/>
  <c r="M352" i="61" l="1"/>
  <c r="R352" i="61"/>
  <c r="U352" i="61"/>
  <c r="X352" i="61"/>
  <c r="M353" i="61" l="1"/>
  <c r="U353" i="61"/>
  <c r="R353" i="61"/>
  <c r="X353" i="61"/>
  <c r="M354" i="61" l="1"/>
  <c r="X354" i="61"/>
  <c r="U354" i="61"/>
  <c r="R354" i="61"/>
  <c r="M355" i="61" l="1"/>
  <c r="R355" i="61"/>
  <c r="X355" i="61"/>
  <c r="U355" i="61"/>
  <c r="M356" i="61" l="1"/>
  <c r="R356" i="61"/>
  <c r="X356" i="61"/>
  <c r="U356" i="61"/>
  <c r="M357" i="61" l="1"/>
  <c r="X357" i="61"/>
  <c r="R357" i="61"/>
  <c r="U357" i="61"/>
  <c r="M358" i="61" l="1"/>
  <c r="R358" i="61"/>
  <c r="X358" i="61"/>
  <c r="U358" i="61"/>
  <c r="M359" i="61" l="1"/>
  <c r="X359" i="61"/>
  <c r="R359" i="61"/>
  <c r="U359" i="61"/>
  <c r="M360" i="61" l="1"/>
  <c r="R360" i="61"/>
  <c r="X360" i="61"/>
  <c r="U360" i="61"/>
  <c r="M361" i="61" l="1"/>
  <c r="U361" i="61"/>
  <c r="X361" i="61"/>
  <c r="R361" i="61"/>
  <c r="M362" i="61" l="1"/>
  <c r="U362" i="61"/>
  <c r="R362" i="61"/>
  <c r="X362" i="61"/>
  <c r="M363" i="61" l="1"/>
  <c r="R363" i="61"/>
  <c r="X363" i="61"/>
  <c r="U363" i="61"/>
  <c r="M364" i="61" l="1"/>
  <c r="X364" i="61"/>
  <c r="U364" i="61"/>
  <c r="R364" i="61"/>
  <c r="M365" i="61" l="1"/>
  <c r="U365" i="61"/>
  <c r="X365" i="61"/>
  <c r="R365" i="61"/>
  <c r="M366" i="61" l="1"/>
  <c r="U366" i="61"/>
  <c r="X366" i="61"/>
  <c r="R366" i="61"/>
  <c r="M367" i="61" l="1"/>
  <c r="X367" i="61"/>
  <c r="U367" i="61"/>
  <c r="R367" i="61"/>
  <c r="M368" i="61" l="1"/>
  <c r="R368" i="61"/>
  <c r="U368" i="61"/>
  <c r="X368" i="61"/>
  <c r="M369" i="61" l="1"/>
  <c r="X369" i="61"/>
  <c r="U369" i="61"/>
  <c r="R369" i="61"/>
  <c r="M370" i="61" l="1"/>
  <c r="X370" i="61"/>
  <c r="U370" i="61"/>
  <c r="R370" i="61"/>
  <c r="M371" i="61" l="1"/>
  <c r="R371" i="61"/>
  <c r="X371" i="61"/>
  <c r="U371" i="61"/>
  <c r="M372" i="61" l="1"/>
  <c r="X372" i="61"/>
  <c r="R372" i="61"/>
  <c r="U372" i="61"/>
  <c r="M373" i="61" l="1"/>
  <c r="R373" i="61"/>
  <c r="U373" i="61"/>
  <c r="X373" i="61"/>
  <c r="M374" i="61" l="1"/>
  <c r="X374" i="61"/>
  <c r="R374" i="61"/>
  <c r="U374" i="61"/>
  <c r="M375" i="61" l="1"/>
  <c r="U375" i="61"/>
  <c r="R375" i="61"/>
  <c r="X375" i="61"/>
  <c r="M376" i="61" l="1"/>
  <c r="U376" i="61"/>
  <c r="X376" i="61"/>
  <c r="R376" i="61"/>
  <c r="M377" i="61" l="1"/>
  <c r="X377" i="61"/>
  <c r="U377" i="61"/>
  <c r="R377" i="61"/>
  <c r="M378" i="61" l="1"/>
  <c r="R378" i="61"/>
  <c r="X378" i="61"/>
  <c r="U378" i="61"/>
  <c r="M379" i="61" l="1"/>
  <c r="R379" i="61"/>
  <c r="U379" i="61"/>
  <c r="X379" i="61"/>
  <c r="M380" i="61" l="1"/>
  <c r="R380" i="61"/>
  <c r="U380" i="61"/>
  <c r="X380" i="61"/>
  <c r="M381" i="61" l="1"/>
  <c r="R381" i="61"/>
  <c r="U381" i="61"/>
  <c r="X381" i="61"/>
  <c r="M382" i="61" l="1"/>
  <c r="U382" i="61"/>
  <c r="R382" i="61"/>
  <c r="X382" i="61"/>
  <c r="M383" i="61" l="1"/>
  <c r="X383" i="61"/>
  <c r="U383" i="61"/>
  <c r="R383" i="61"/>
  <c r="M384" i="61" l="1"/>
  <c r="X384" i="61"/>
  <c r="R384" i="61"/>
  <c r="U384" i="61"/>
  <c r="M385" i="61" l="1"/>
  <c r="R385" i="61"/>
  <c r="U385" i="61"/>
  <c r="X385" i="61"/>
  <c r="M386" i="61" l="1"/>
  <c r="X386" i="61"/>
  <c r="U386" i="61"/>
  <c r="R386" i="61"/>
  <c r="M387" i="61" l="1"/>
  <c r="X387" i="61"/>
  <c r="U387" i="61"/>
  <c r="R387" i="61"/>
  <c r="M388" i="61" l="1"/>
  <c r="X388" i="61"/>
  <c r="R388" i="61"/>
  <c r="U388" i="61"/>
  <c r="M389" i="61" l="1"/>
  <c r="X389" i="61"/>
  <c r="U389" i="61"/>
  <c r="R389" i="61"/>
  <c r="M390" i="61" l="1"/>
  <c r="R390" i="61"/>
  <c r="X390" i="61"/>
  <c r="U390" i="61"/>
  <c r="M391" i="61" l="1"/>
  <c r="U391" i="61"/>
  <c r="R391" i="61"/>
  <c r="X391" i="61"/>
  <c r="M392" i="61" l="1"/>
  <c r="X392" i="61"/>
  <c r="R392" i="61"/>
  <c r="U392" i="61"/>
  <c r="M393" i="61" l="1"/>
  <c r="R393" i="61"/>
  <c r="X393" i="61"/>
  <c r="U393" i="61"/>
  <c r="M394" i="61" l="1"/>
  <c r="U394" i="61"/>
  <c r="X394" i="61"/>
  <c r="R394" i="61"/>
  <c r="M395" i="61" l="1"/>
  <c r="U395" i="61"/>
  <c r="X395" i="61"/>
  <c r="R395" i="61"/>
  <c r="M396" i="61" l="1"/>
  <c r="X396" i="61"/>
  <c r="R396" i="61"/>
  <c r="U396" i="61"/>
  <c r="M397" i="61" l="1"/>
  <c r="X397" i="61"/>
  <c r="R397" i="61"/>
  <c r="U397" i="61"/>
  <c r="M398" i="61" l="1"/>
  <c r="R398" i="61"/>
  <c r="U398" i="61"/>
  <c r="X398" i="61"/>
  <c r="M399" i="61" l="1"/>
  <c r="X399" i="61"/>
  <c r="R399" i="61"/>
  <c r="U399" i="61"/>
  <c r="M400" i="61" l="1"/>
  <c r="U400" i="61"/>
  <c r="X400" i="61"/>
  <c r="R400" i="61"/>
  <c r="M401" i="61" l="1"/>
  <c r="R401" i="61"/>
  <c r="X401" i="61"/>
  <c r="U401" i="61"/>
  <c r="M402" i="61" l="1"/>
  <c r="U402" i="61"/>
  <c r="R402" i="61"/>
  <c r="X402" i="61"/>
  <c r="M403" i="61" l="1"/>
  <c r="X403" i="61"/>
  <c r="U403" i="61"/>
  <c r="R403" i="61"/>
  <c r="M404" i="61" l="1"/>
  <c r="X404" i="61"/>
  <c r="U404" i="61"/>
  <c r="R404" i="61"/>
  <c r="M405" i="61" l="1"/>
  <c r="R405" i="61"/>
  <c r="X405" i="61"/>
  <c r="U405" i="61"/>
  <c r="M406" i="61" l="1"/>
  <c r="U406" i="61"/>
  <c r="X406" i="61"/>
  <c r="R406" i="61"/>
  <c r="M407" i="61" l="1"/>
  <c r="U407" i="61"/>
  <c r="X407" i="61"/>
  <c r="R407" i="61"/>
  <c r="M408" i="61" l="1"/>
  <c r="X408" i="61"/>
  <c r="R408" i="61"/>
  <c r="U408" i="61"/>
  <c r="M409" i="61" l="1"/>
  <c r="X409" i="61"/>
  <c r="R409" i="61"/>
  <c r="U409" i="61"/>
  <c r="M410" i="61" l="1"/>
  <c r="U410" i="61"/>
  <c r="X410" i="61"/>
  <c r="R410" i="61"/>
  <c r="M411" i="61" l="1"/>
  <c r="R411" i="61"/>
  <c r="X411" i="61"/>
  <c r="U411" i="61"/>
  <c r="M412" i="61" l="1"/>
  <c r="R412" i="61"/>
  <c r="U412" i="61"/>
  <c r="X412" i="61"/>
  <c r="M413" i="61" l="1"/>
  <c r="X413" i="61"/>
  <c r="R413" i="61"/>
  <c r="U413" i="61"/>
  <c r="M414" i="61" l="1"/>
  <c r="R414" i="61"/>
  <c r="X414" i="61"/>
  <c r="U414" i="61"/>
  <c r="M415" i="61" l="1"/>
  <c r="X415" i="61"/>
  <c r="R415" i="61"/>
  <c r="U415" i="61"/>
  <c r="M416" i="61" l="1"/>
  <c r="R416" i="61"/>
  <c r="X416" i="61"/>
  <c r="U416" i="61"/>
  <c r="M417" i="61" l="1"/>
  <c r="R417" i="61"/>
  <c r="X417" i="61"/>
  <c r="U417" i="61"/>
  <c r="M418" i="61" l="1"/>
  <c r="R418" i="61"/>
  <c r="U418" i="61"/>
  <c r="X418" i="61"/>
  <c r="M419" i="61" l="1"/>
  <c r="X419" i="61"/>
  <c r="U419" i="61"/>
  <c r="R419" i="61"/>
  <c r="M420" i="61" l="1"/>
  <c r="U420" i="61"/>
  <c r="X420" i="61"/>
  <c r="R420" i="61"/>
  <c r="M421" i="61" l="1"/>
  <c r="X421" i="61"/>
  <c r="U421" i="61"/>
  <c r="R421" i="61"/>
  <c r="M422" i="61" l="1"/>
  <c r="X422" i="61"/>
  <c r="R422" i="61"/>
  <c r="U422" i="61"/>
  <c r="M423" i="61" l="1"/>
  <c r="X423" i="61"/>
  <c r="R423" i="61"/>
  <c r="U423" i="61"/>
  <c r="M424" i="61" l="1"/>
  <c r="R424" i="61"/>
  <c r="X424" i="61"/>
  <c r="U424" i="61"/>
  <c r="M425" i="61" l="1"/>
  <c r="U425" i="61"/>
  <c r="X425" i="61"/>
  <c r="R425" i="61"/>
  <c r="M426" i="61" l="1"/>
  <c r="R426" i="61"/>
  <c r="U426" i="61"/>
  <c r="X426" i="61"/>
  <c r="M427" i="61" l="1"/>
  <c r="U427" i="61"/>
  <c r="R427" i="61"/>
  <c r="X427" i="61"/>
  <c r="M428" i="61" l="1"/>
  <c r="R428" i="61"/>
  <c r="U428" i="61"/>
  <c r="X428" i="61"/>
  <c r="M429" i="61" l="1"/>
  <c r="R429" i="61"/>
  <c r="U429" i="61"/>
  <c r="X429" i="61"/>
  <c r="M430" i="61" l="1"/>
  <c r="R430" i="61"/>
  <c r="X430" i="61"/>
  <c r="U430" i="61"/>
  <c r="M431" i="61" l="1"/>
  <c r="X431" i="61"/>
  <c r="R431" i="61"/>
  <c r="U431" i="61"/>
  <c r="M432" i="61" l="1"/>
  <c r="R432" i="61"/>
  <c r="X432" i="61"/>
  <c r="U432" i="61"/>
  <c r="M433" i="61" l="1"/>
  <c r="U433" i="61"/>
  <c r="R433" i="61"/>
  <c r="X433" i="61"/>
  <c r="M434" i="61" l="1"/>
  <c r="R434" i="61"/>
  <c r="X434" i="61"/>
  <c r="U434" i="61"/>
  <c r="M435" i="61" l="1"/>
  <c r="U435" i="61"/>
  <c r="R435" i="61"/>
  <c r="X435" i="61"/>
  <c r="M436" i="61" l="1"/>
  <c r="R436" i="61"/>
  <c r="U436" i="61"/>
  <c r="X436" i="61"/>
  <c r="M437" i="61" l="1"/>
  <c r="R437" i="61"/>
  <c r="X437" i="61"/>
  <c r="U437" i="61"/>
  <c r="M438" i="61" l="1"/>
  <c r="R438" i="61"/>
  <c r="U438" i="61"/>
  <c r="X438" i="61"/>
  <c r="M439" i="61" l="1"/>
  <c r="U439" i="61"/>
  <c r="X439" i="61"/>
  <c r="R439" i="61"/>
  <c r="M440" i="61" l="1"/>
  <c r="R440" i="61"/>
  <c r="X440" i="61"/>
  <c r="U440" i="61"/>
  <c r="M441" i="61" l="1"/>
  <c r="U441" i="61"/>
  <c r="R441" i="61"/>
  <c r="X441" i="61"/>
  <c r="M442" i="61" l="1"/>
  <c r="U442" i="61"/>
  <c r="R442" i="61"/>
  <c r="X442" i="61"/>
  <c r="M443" i="61" l="1"/>
  <c r="X443" i="61"/>
  <c r="U443" i="61"/>
  <c r="R443" i="61"/>
  <c r="M444" i="61" l="1"/>
  <c r="X444" i="61"/>
  <c r="R444" i="61"/>
  <c r="U444" i="61"/>
  <c r="M445" i="61" l="1"/>
  <c r="U445" i="61"/>
  <c r="X445" i="61"/>
  <c r="R445" i="61"/>
  <c r="M446" i="61" l="1"/>
  <c r="R446" i="61"/>
  <c r="U446" i="61"/>
  <c r="X446" i="61"/>
  <c r="M447" i="61" l="1"/>
  <c r="U447" i="61"/>
  <c r="R447" i="61"/>
  <c r="X447" i="61"/>
  <c r="M448" i="61" l="1"/>
  <c r="U448" i="61"/>
  <c r="R448" i="61"/>
  <c r="X448" i="61"/>
  <c r="M449" i="61" l="1"/>
  <c r="X449" i="61"/>
  <c r="R449" i="61"/>
  <c r="U449" i="61"/>
  <c r="M450" i="61" l="1"/>
  <c r="R450" i="61"/>
  <c r="U450" i="61"/>
  <c r="X450" i="61"/>
  <c r="M451" i="61" l="1"/>
  <c r="X451" i="61"/>
  <c r="U451" i="61"/>
  <c r="R451" i="61"/>
  <c r="M452" i="61" l="1"/>
  <c r="X452" i="61"/>
  <c r="U452" i="61"/>
  <c r="R452" i="61"/>
  <c r="M453" i="61" l="1"/>
  <c r="X453" i="61"/>
  <c r="U453" i="61"/>
  <c r="R453" i="61"/>
  <c r="M454" i="61" l="1"/>
  <c r="X454" i="61"/>
  <c r="U454" i="61"/>
  <c r="R454" i="61"/>
  <c r="M455" i="61" l="1"/>
  <c r="X455" i="61"/>
  <c r="R455" i="61"/>
  <c r="U455" i="61"/>
  <c r="M456" i="61" l="1"/>
  <c r="X456" i="61"/>
  <c r="U456" i="61"/>
  <c r="R456" i="61"/>
  <c r="M457" i="61" l="1"/>
  <c r="U457" i="61"/>
  <c r="R457" i="61"/>
  <c r="X457" i="61"/>
  <c r="M458" i="61" l="1"/>
  <c r="U458" i="61"/>
  <c r="R458" i="61"/>
  <c r="X458" i="61"/>
  <c r="M459" i="61" l="1"/>
  <c r="X459" i="61"/>
  <c r="U459" i="61"/>
  <c r="R459" i="61"/>
  <c r="M460" i="61" l="1"/>
  <c r="R460" i="61"/>
  <c r="X460" i="61"/>
  <c r="U460" i="61"/>
  <c r="M461" i="61" l="1"/>
  <c r="X461" i="61"/>
  <c r="U461" i="61"/>
  <c r="R461" i="61"/>
  <c r="M462" i="61" l="1"/>
  <c r="U462" i="61"/>
  <c r="R462" i="61"/>
  <c r="X462" i="61"/>
  <c r="M463" i="61" l="1"/>
  <c r="X463" i="61"/>
  <c r="R463" i="61"/>
  <c r="U463" i="61"/>
  <c r="M464" i="61" l="1"/>
  <c r="U464" i="61"/>
  <c r="R464" i="61"/>
  <c r="X464" i="61"/>
  <c r="M465" i="61" l="1"/>
  <c r="U465" i="61"/>
  <c r="R465" i="61"/>
  <c r="X465" i="61"/>
  <c r="M466" i="61" l="1"/>
  <c r="X466" i="61"/>
  <c r="U466" i="61"/>
  <c r="R466" i="61"/>
  <c r="M467" i="61" l="1"/>
  <c r="R467" i="61"/>
  <c r="U467" i="61"/>
  <c r="X467" i="61"/>
  <c r="M468" i="61" l="1"/>
  <c r="R468" i="61"/>
  <c r="U468" i="61"/>
  <c r="X468" i="61"/>
  <c r="M469" i="61" l="1"/>
  <c r="X469" i="61"/>
  <c r="U469" i="61"/>
  <c r="R469" i="61"/>
  <c r="M470" i="61" l="1"/>
  <c r="X470" i="61"/>
  <c r="U470" i="61"/>
  <c r="R470" i="61"/>
  <c r="M471" i="61" l="1"/>
  <c r="X471" i="61"/>
  <c r="R471" i="61"/>
  <c r="U471" i="61"/>
  <c r="M472" i="61" l="1"/>
  <c r="X472" i="61"/>
  <c r="U472" i="61"/>
  <c r="R472" i="61"/>
  <c r="M473" i="61" l="1"/>
  <c r="R473" i="61"/>
  <c r="X473" i="61"/>
  <c r="U473" i="61"/>
  <c r="M474" i="61" l="1"/>
  <c r="X474" i="61"/>
  <c r="U474" i="61"/>
  <c r="R474" i="61"/>
  <c r="M475" i="61" l="1"/>
  <c r="R475" i="61"/>
  <c r="X475" i="61"/>
  <c r="U475" i="61"/>
  <c r="M476" i="61" l="1"/>
  <c r="X476" i="61"/>
  <c r="U476" i="61"/>
  <c r="R476" i="61"/>
  <c r="M477" i="61" l="1"/>
  <c r="R477" i="61"/>
  <c r="U477" i="61"/>
  <c r="X477" i="61"/>
  <c r="M478" i="61" l="1"/>
  <c r="X478" i="61"/>
  <c r="U478" i="61"/>
  <c r="R478" i="61"/>
  <c r="M479" i="61" l="1"/>
  <c r="X479" i="61"/>
  <c r="R479" i="61"/>
  <c r="U479" i="61"/>
  <c r="M480" i="61" l="1"/>
  <c r="U480" i="61"/>
  <c r="R480" i="61"/>
  <c r="X480" i="61"/>
  <c r="M481" i="61" l="1"/>
  <c r="U481" i="61"/>
  <c r="X481" i="61"/>
  <c r="R481" i="61"/>
  <c r="M482" i="61" l="1"/>
  <c r="U482" i="61"/>
  <c r="X482" i="61"/>
  <c r="R482" i="61"/>
  <c r="M483" i="61" l="1"/>
  <c r="R483" i="61"/>
  <c r="X483" i="61"/>
  <c r="U483" i="61"/>
  <c r="M484" i="61" l="1"/>
  <c r="U484" i="61"/>
  <c r="R484" i="61"/>
  <c r="X484" i="61"/>
  <c r="M485" i="61" l="1"/>
  <c r="R485" i="61"/>
  <c r="X485" i="61"/>
  <c r="U485" i="61"/>
  <c r="M486" i="61" l="1"/>
  <c r="X486" i="61"/>
  <c r="R486" i="61"/>
  <c r="U486" i="61"/>
  <c r="M487" i="61" l="1"/>
  <c r="X487" i="61"/>
  <c r="U487" i="61"/>
  <c r="R487" i="61"/>
  <c r="M488" i="61" l="1"/>
  <c r="X488" i="61"/>
  <c r="U488" i="61"/>
  <c r="R488" i="61"/>
  <c r="M489" i="61" l="1"/>
  <c r="X489" i="61"/>
  <c r="U489" i="61"/>
  <c r="R489" i="61"/>
  <c r="M490" i="61" l="1"/>
  <c r="R490" i="61"/>
  <c r="U490" i="61"/>
  <c r="X490" i="61"/>
  <c r="M491" i="61" l="1"/>
  <c r="X491" i="61"/>
  <c r="R491" i="61"/>
  <c r="U491" i="61"/>
  <c r="M492" i="61" l="1"/>
  <c r="R492" i="61"/>
  <c r="U492" i="61"/>
  <c r="X492" i="61"/>
  <c r="M493" i="61" l="1"/>
  <c r="X493" i="61"/>
  <c r="R493" i="61"/>
  <c r="U493" i="61"/>
  <c r="M494" i="61" l="1"/>
  <c r="U494" i="61"/>
  <c r="R494" i="61"/>
  <c r="X494" i="61"/>
  <c r="M495" i="61" l="1"/>
  <c r="R495" i="61"/>
  <c r="U495" i="61"/>
  <c r="X495" i="61"/>
  <c r="M496" i="61" l="1"/>
  <c r="X496" i="61"/>
  <c r="U496" i="61"/>
  <c r="R496" i="61"/>
  <c r="M497" i="61" l="1"/>
  <c r="R497" i="61"/>
  <c r="U497" i="61"/>
  <c r="X497" i="61"/>
  <c r="M498" i="61" l="1"/>
  <c r="X498" i="61"/>
  <c r="R498" i="61"/>
  <c r="U498" i="61"/>
  <c r="M499" i="61" l="1"/>
  <c r="R499" i="61"/>
  <c r="X499" i="61"/>
  <c r="U499" i="61"/>
  <c r="M500" i="61" l="1"/>
  <c r="X500" i="61"/>
  <c r="U500" i="61"/>
  <c r="R500" i="61"/>
  <c r="M501" i="61" l="1"/>
  <c r="X501" i="61"/>
  <c r="U501" i="61"/>
  <c r="R501" i="61"/>
  <c r="M502" i="61" l="1"/>
  <c r="R502" i="61"/>
  <c r="X502" i="61"/>
  <c r="U502" i="61"/>
  <c r="M503" i="61" l="1"/>
  <c r="U503" i="61"/>
  <c r="R503" i="61"/>
  <c r="X503" i="61"/>
  <c r="M504" i="61" l="1"/>
  <c r="U504" i="61"/>
  <c r="R504" i="61"/>
  <c r="X504" i="61"/>
  <c r="M505" i="61" l="1"/>
  <c r="U505" i="61"/>
  <c r="X505" i="61"/>
  <c r="R505" i="61"/>
  <c r="M506" i="61" l="1"/>
  <c r="U506" i="61"/>
  <c r="R506" i="61"/>
  <c r="X506" i="61"/>
  <c r="M507" i="61" l="1"/>
  <c r="R507" i="61"/>
  <c r="U507" i="61"/>
  <c r="X507" i="61"/>
  <c r="M508" i="61" l="1"/>
  <c r="U508" i="61"/>
  <c r="R508" i="61"/>
  <c r="X508" i="61"/>
  <c r="M509" i="61" l="1"/>
  <c r="R509" i="61"/>
  <c r="X509" i="61"/>
  <c r="U509" i="61"/>
  <c r="M510" i="61" l="1"/>
  <c r="U510" i="61"/>
  <c r="X510" i="61"/>
  <c r="R510" i="61"/>
  <c r="M511" i="61" l="1"/>
  <c r="R511" i="61"/>
  <c r="U511" i="61"/>
  <c r="X511" i="61"/>
  <c r="M512" i="61" l="1"/>
  <c r="R512" i="61"/>
  <c r="X512" i="61"/>
  <c r="U512" i="61"/>
  <c r="M513" i="61" l="1"/>
  <c r="U513" i="61"/>
  <c r="R513" i="61"/>
  <c r="X513" i="61"/>
  <c r="M514" i="61" l="1"/>
  <c r="U514" i="61"/>
  <c r="X514" i="61"/>
  <c r="R514" i="61"/>
  <c r="M515" i="61" l="1"/>
  <c r="X515" i="61"/>
  <c r="U515" i="61"/>
  <c r="R515" i="61"/>
  <c r="M516" i="61" l="1"/>
  <c r="X516" i="61"/>
  <c r="R516" i="61"/>
  <c r="U516" i="61"/>
  <c r="M517" i="61" l="1"/>
  <c r="X517" i="61"/>
  <c r="U517" i="61"/>
  <c r="R517" i="61"/>
  <c r="M518" i="61" l="1"/>
  <c r="X518" i="61"/>
  <c r="U518" i="61"/>
  <c r="R518" i="61"/>
  <c r="M519" i="61" l="1"/>
  <c r="R519" i="61"/>
  <c r="U519" i="61"/>
  <c r="X519" i="61"/>
  <c r="M520" i="61" l="1"/>
  <c r="R520" i="61"/>
  <c r="U520" i="61"/>
  <c r="X520" i="61"/>
  <c r="M521" i="61" l="1"/>
  <c r="X521" i="61"/>
  <c r="R521" i="61"/>
  <c r="U521" i="61"/>
  <c r="M522" i="61" l="1"/>
  <c r="R522" i="61"/>
  <c r="U522" i="61"/>
  <c r="X522" i="61"/>
  <c r="M523" i="61" l="1"/>
  <c r="R523" i="61"/>
  <c r="U523" i="61"/>
  <c r="X523" i="61"/>
  <c r="M524" i="61" l="1"/>
  <c r="R524" i="61"/>
  <c r="X524" i="61"/>
  <c r="U524" i="61"/>
  <c r="M525" i="61" l="1"/>
  <c r="R525" i="61"/>
  <c r="U525" i="61"/>
  <c r="X525" i="61"/>
  <c r="M526" i="61" l="1"/>
  <c r="R526" i="61"/>
  <c r="U526" i="61"/>
  <c r="X526" i="61"/>
  <c r="M527" i="61" l="1"/>
  <c r="X527" i="61"/>
  <c r="R527" i="61"/>
  <c r="U527" i="61"/>
  <c r="M528" i="61" l="1"/>
  <c r="R528" i="61"/>
  <c r="X528" i="61"/>
  <c r="U528" i="61"/>
  <c r="M529" i="61" l="1"/>
  <c r="X529" i="61"/>
  <c r="R529" i="61"/>
  <c r="U529" i="61"/>
  <c r="M530" i="61" l="1"/>
  <c r="R530" i="61"/>
  <c r="U530" i="61"/>
  <c r="X530" i="61"/>
  <c r="M531" i="61" l="1"/>
  <c r="X531" i="61"/>
  <c r="R531" i="61"/>
  <c r="U531" i="61"/>
  <c r="M532" i="61" l="1"/>
  <c r="X532" i="61"/>
  <c r="U532" i="61"/>
  <c r="R532" i="61"/>
  <c r="M533" i="61" l="1"/>
  <c r="U533" i="61"/>
  <c r="R533" i="61"/>
  <c r="X533" i="61"/>
  <c r="M534" i="61" l="1"/>
  <c r="R534" i="61"/>
  <c r="U534" i="61"/>
  <c r="X534" i="61"/>
  <c r="M535" i="61" l="1"/>
  <c r="X535" i="61"/>
  <c r="R535" i="61"/>
  <c r="U535" i="61"/>
  <c r="M536" i="61" l="1"/>
  <c r="R536" i="61"/>
  <c r="X536" i="61"/>
  <c r="U536" i="61"/>
  <c r="M537" i="61" l="1"/>
  <c r="R537" i="61"/>
  <c r="U537" i="61"/>
  <c r="X537" i="61"/>
  <c r="M538" i="61" l="1"/>
  <c r="U538" i="61"/>
  <c r="R538" i="61"/>
  <c r="X538" i="61"/>
  <c r="M539" i="61" l="1"/>
  <c r="R539" i="61"/>
  <c r="X539" i="61"/>
  <c r="U539" i="61"/>
  <c r="M540" i="61" l="1"/>
  <c r="U540" i="61"/>
  <c r="X540" i="61"/>
  <c r="R540" i="61"/>
  <c r="M541" i="61" l="1"/>
  <c r="X541" i="61"/>
  <c r="R541" i="61"/>
  <c r="U541" i="61"/>
  <c r="M542" i="61" l="1"/>
  <c r="U542" i="61"/>
  <c r="X542" i="61"/>
  <c r="R542" i="61"/>
  <c r="M543" i="61" l="1"/>
  <c r="U543" i="61"/>
  <c r="R543" i="61"/>
  <c r="X543" i="61"/>
  <c r="M544" i="61" l="1"/>
  <c r="U544" i="61"/>
  <c r="R544" i="61"/>
  <c r="X544" i="61"/>
  <c r="M545" i="61" l="1"/>
  <c r="R545" i="61"/>
  <c r="X545" i="61"/>
  <c r="U545" i="61"/>
  <c r="M546" i="61" l="1"/>
  <c r="R546" i="61"/>
  <c r="U546" i="61"/>
  <c r="X546" i="61"/>
  <c r="M547" i="61" l="1"/>
  <c r="U547" i="61"/>
  <c r="R547" i="61"/>
  <c r="X547" i="61"/>
  <c r="M548" i="61" l="1"/>
  <c r="R548" i="61"/>
  <c r="X548" i="61"/>
  <c r="U548" i="61"/>
  <c r="M549" i="61" l="1"/>
  <c r="U549" i="61"/>
  <c r="R549" i="61"/>
  <c r="X549" i="61"/>
  <c r="M550" i="61" l="1"/>
  <c r="U550" i="61"/>
  <c r="R550" i="61"/>
  <c r="X550" i="61"/>
  <c r="M551" i="61" l="1"/>
  <c r="U551" i="61"/>
  <c r="X551" i="61"/>
  <c r="R551" i="61"/>
  <c r="M552" i="61" l="1"/>
  <c r="U552" i="61"/>
  <c r="X552" i="61"/>
  <c r="R552" i="61"/>
  <c r="M553" i="61" l="1"/>
  <c r="R553" i="61"/>
  <c r="U553" i="61"/>
  <c r="X553" i="61"/>
  <c r="M554" i="61" l="1"/>
  <c r="R554" i="61"/>
  <c r="X554" i="61"/>
  <c r="U554" i="61"/>
  <c r="M555" i="61" l="1"/>
  <c r="U555" i="61"/>
  <c r="X555" i="61"/>
  <c r="R555" i="61"/>
  <c r="M556" i="61" l="1"/>
  <c r="X556" i="61"/>
  <c r="U556" i="61"/>
  <c r="R556" i="61"/>
  <c r="M557" i="61" l="1"/>
  <c r="X557" i="61"/>
  <c r="R557" i="61"/>
  <c r="U557" i="61"/>
  <c r="M558" i="61" l="1"/>
  <c r="R558" i="61"/>
  <c r="X558" i="61"/>
  <c r="U558" i="61"/>
  <c r="M559" i="61" l="1"/>
  <c r="R559" i="61"/>
  <c r="U559" i="61"/>
  <c r="X559" i="61"/>
  <c r="M560" i="61" l="1"/>
  <c r="X560" i="61"/>
  <c r="U560" i="61"/>
  <c r="R560" i="61"/>
  <c r="M561" i="61" l="1"/>
  <c r="X561" i="61"/>
  <c r="U561" i="61"/>
  <c r="R561" i="61"/>
  <c r="M562" i="61" l="1"/>
  <c r="X562" i="61"/>
  <c r="R562" i="61"/>
  <c r="U562" i="61"/>
  <c r="M563" i="61" l="1"/>
  <c r="X563" i="61"/>
  <c r="R563" i="61"/>
  <c r="U563" i="61"/>
  <c r="M564" i="61" l="1"/>
  <c r="U564" i="61"/>
  <c r="X564" i="61"/>
  <c r="R564" i="61"/>
  <c r="M565" i="61" l="1"/>
  <c r="X565" i="61"/>
  <c r="R565" i="61"/>
  <c r="U565" i="61"/>
  <c r="M566" i="61" l="1"/>
  <c r="R566" i="61"/>
  <c r="X566" i="61"/>
  <c r="U566" i="61"/>
  <c r="M567" i="61" l="1"/>
  <c r="U567" i="61"/>
  <c r="X567" i="61"/>
  <c r="R567" i="61"/>
  <c r="M568" i="61" l="1"/>
  <c r="R568" i="61"/>
  <c r="X568" i="61"/>
  <c r="U568" i="61"/>
  <c r="M569" i="61" l="1"/>
  <c r="U569" i="61"/>
  <c r="X569" i="61"/>
  <c r="R569" i="61"/>
  <c r="M570" i="61" l="1"/>
  <c r="R570" i="61"/>
  <c r="U570" i="61"/>
  <c r="X570" i="61"/>
  <c r="M571" i="61" l="1"/>
  <c r="X571" i="61"/>
  <c r="U571" i="61"/>
  <c r="R571" i="61"/>
  <c r="M572" i="61" l="1"/>
  <c r="U572" i="61"/>
  <c r="X572" i="61"/>
  <c r="R572" i="61"/>
  <c r="M573" i="61" l="1"/>
  <c r="X573" i="61"/>
  <c r="U573" i="61"/>
  <c r="R573" i="61"/>
  <c r="M574" i="61" l="1"/>
  <c r="R574" i="61"/>
  <c r="U574" i="61"/>
  <c r="X574" i="61"/>
  <c r="M575" i="61" l="1"/>
  <c r="U575" i="61"/>
  <c r="X575" i="61"/>
  <c r="R575" i="61"/>
  <c r="M576" i="61" l="1"/>
  <c r="X576" i="61"/>
  <c r="U576" i="61"/>
  <c r="R576" i="61"/>
  <c r="M577" i="61" l="1"/>
  <c r="U577" i="61"/>
  <c r="X577" i="61"/>
  <c r="R577" i="61"/>
  <c r="M578" i="61" l="1"/>
  <c r="X578" i="61"/>
  <c r="U578" i="61"/>
  <c r="R578" i="61"/>
  <c r="M579" i="61" l="1"/>
  <c r="X579" i="61"/>
  <c r="U579" i="61"/>
  <c r="R579" i="61"/>
  <c r="M580" i="61" l="1"/>
  <c r="R580" i="61"/>
  <c r="U580" i="61"/>
  <c r="X580" i="61"/>
  <c r="M581" i="61" l="1"/>
  <c r="X581" i="61"/>
  <c r="R581" i="61"/>
  <c r="U581" i="61"/>
  <c r="M582" i="61" l="1"/>
  <c r="U582" i="61"/>
  <c r="R582" i="61"/>
  <c r="X582" i="61"/>
  <c r="M583" i="61" l="1"/>
  <c r="X583" i="61"/>
  <c r="R583" i="61"/>
  <c r="U583" i="61"/>
  <c r="M584" i="61" l="1"/>
  <c r="R584" i="61"/>
  <c r="X584" i="61"/>
  <c r="U584" i="61"/>
  <c r="M585" i="61" l="1"/>
  <c r="R585" i="61"/>
  <c r="U585" i="61"/>
  <c r="X585" i="61"/>
  <c r="M586" i="61" l="1"/>
  <c r="X586" i="61"/>
  <c r="R586" i="61"/>
  <c r="U586" i="61"/>
  <c r="M587" i="61" l="1"/>
  <c r="X587" i="61"/>
  <c r="R587" i="61"/>
  <c r="U587" i="61"/>
  <c r="M588" i="61" l="1"/>
  <c r="X588" i="61"/>
  <c r="R588" i="61"/>
  <c r="U588" i="61"/>
  <c r="M589" i="61" l="1"/>
  <c r="R589" i="61"/>
  <c r="X589" i="61"/>
  <c r="U589" i="61"/>
  <c r="M590" i="61" l="1"/>
  <c r="U590" i="61"/>
  <c r="R590" i="61"/>
  <c r="X590" i="61"/>
  <c r="M591" i="61" l="1"/>
  <c r="X591" i="61"/>
  <c r="U591" i="61"/>
  <c r="R591" i="61"/>
  <c r="M592" i="61" l="1"/>
  <c r="U592" i="61"/>
  <c r="X592" i="61"/>
  <c r="R592" i="61"/>
  <c r="M593" i="61" l="1"/>
  <c r="X593" i="61"/>
  <c r="R593" i="61"/>
  <c r="U593" i="61"/>
  <c r="M594" i="61" l="1"/>
  <c r="R594" i="61"/>
  <c r="X594" i="61"/>
  <c r="U594" i="61"/>
  <c r="M595" i="61" l="1"/>
  <c r="X595" i="61"/>
  <c r="R595" i="61"/>
  <c r="U595" i="61"/>
  <c r="M596" i="61" l="1"/>
  <c r="R596" i="61"/>
  <c r="X596" i="61"/>
  <c r="U596" i="61"/>
  <c r="M597" i="61" l="1"/>
  <c r="X597" i="61"/>
  <c r="U597" i="61"/>
  <c r="R597" i="61"/>
  <c r="M598" i="61" l="1"/>
  <c r="U598" i="61"/>
  <c r="R598" i="61"/>
  <c r="X598" i="61"/>
  <c r="M599" i="61" l="1"/>
  <c r="U599" i="61"/>
  <c r="X599" i="61"/>
  <c r="R599" i="61"/>
  <c r="M600" i="61" l="1"/>
  <c r="R600" i="61"/>
  <c r="X600" i="61"/>
  <c r="U600" i="61"/>
  <c r="M601" i="61" l="1"/>
  <c r="U601" i="61"/>
  <c r="X601" i="61"/>
  <c r="R601" i="61"/>
  <c r="M602" i="61" l="1"/>
  <c r="R602" i="61"/>
  <c r="U602" i="61"/>
  <c r="X602" i="61"/>
  <c r="M603" i="61" l="1"/>
  <c r="U603" i="61"/>
  <c r="X603" i="61"/>
  <c r="R603" i="61"/>
  <c r="M604" i="61" l="1"/>
  <c r="U604" i="61"/>
  <c r="R604" i="61"/>
  <c r="X604" i="61"/>
  <c r="M605" i="61" l="1"/>
  <c r="U605" i="61"/>
  <c r="X605" i="61"/>
  <c r="R605" i="61"/>
  <c r="M606" i="61" l="1"/>
  <c r="X606" i="61"/>
  <c r="R606" i="61"/>
  <c r="U606" i="61"/>
  <c r="M607" i="61" l="1"/>
  <c r="X607" i="61"/>
  <c r="R607" i="61"/>
  <c r="U607" i="61"/>
  <c r="M608" i="61" l="1"/>
  <c r="U608" i="61"/>
  <c r="X608" i="61"/>
  <c r="R608" i="61"/>
  <c r="M609" i="61" l="1"/>
  <c r="R609" i="61"/>
  <c r="X609" i="61"/>
  <c r="U609" i="61"/>
  <c r="M610" i="61" l="1"/>
  <c r="R610" i="61"/>
  <c r="X610" i="61"/>
  <c r="U610" i="61"/>
  <c r="M611" i="61" l="1"/>
  <c r="U611" i="61"/>
  <c r="X611" i="61"/>
  <c r="R611" i="61"/>
  <c r="M612" i="61" l="1"/>
  <c r="X612" i="61"/>
  <c r="U612" i="61"/>
  <c r="R612" i="61"/>
  <c r="M613" i="61" l="1"/>
  <c r="R613" i="61"/>
  <c r="U613" i="61"/>
  <c r="X613" i="61"/>
  <c r="M614" i="61" l="1"/>
  <c r="X614" i="61"/>
  <c r="R614" i="61"/>
  <c r="U614" i="61"/>
  <c r="M615" i="61" l="1"/>
  <c r="X615" i="61"/>
  <c r="R615" i="61"/>
  <c r="U615" i="61"/>
  <c r="M616" i="61" l="1"/>
  <c r="U616" i="61"/>
  <c r="X616" i="61"/>
  <c r="R616" i="61"/>
  <c r="M617" i="61" l="1"/>
  <c r="X617" i="61"/>
  <c r="U617" i="61"/>
  <c r="R617" i="61"/>
  <c r="M618" i="61" l="1"/>
  <c r="R618" i="61"/>
  <c r="X618" i="61"/>
  <c r="U618" i="61"/>
  <c r="M619" i="61" l="1"/>
  <c r="X619" i="61"/>
  <c r="U619" i="61"/>
  <c r="R619" i="61"/>
  <c r="M620" i="61" l="1"/>
  <c r="R620" i="61"/>
  <c r="X620" i="61"/>
  <c r="U620" i="61"/>
  <c r="M621" i="61" l="1"/>
  <c r="R621" i="61"/>
  <c r="X621" i="61"/>
  <c r="U621" i="61"/>
  <c r="M622" i="61" l="1"/>
  <c r="U622" i="61"/>
  <c r="X622" i="61"/>
  <c r="R622" i="61"/>
  <c r="M623" i="61" l="1"/>
  <c r="X623" i="61"/>
  <c r="R623" i="61"/>
  <c r="U623" i="61"/>
  <c r="M624" i="61" l="1"/>
  <c r="X624" i="61"/>
  <c r="U624" i="61"/>
  <c r="R624" i="61"/>
  <c r="M625" i="61" l="1"/>
  <c r="R625" i="61"/>
  <c r="X625" i="61"/>
  <c r="U625" i="61"/>
  <c r="M626" i="61" l="1"/>
  <c r="X626" i="61"/>
  <c r="U626" i="61"/>
  <c r="R626" i="61"/>
  <c r="M627" i="61" l="1"/>
  <c r="X627" i="61"/>
  <c r="U627" i="61"/>
  <c r="R627" i="61"/>
  <c r="M628" i="61" l="1"/>
  <c r="R628" i="61"/>
  <c r="X628" i="61"/>
  <c r="U628" i="61"/>
  <c r="M629" i="61" l="1"/>
  <c r="U629" i="61"/>
  <c r="R629" i="61"/>
  <c r="X629" i="61"/>
  <c r="M630" i="61" l="1"/>
  <c r="U630" i="61"/>
  <c r="X630" i="61"/>
  <c r="R630" i="61"/>
  <c r="M631" i="61" l="1"/>
  <c r="R631" i="61"/>
  <c r="U631" i="61"/>
  <c r="X631" i="61"/>
  <c r="M632" i="61" l="1"/>
  <c r="R632" i="61"/>
  <c r="X632" i="61"/>
  <c r="U632" i="61"/>
  <c r="M633" i="61" l="1"/>
  <c r="X633" i="61"/>
  <c r="R633" i="61"/>
  <c r="U633" i="61"/>
  <c r="M634" i="61" l="1"/>
  <c r="U634" i="61"/>
  <c r="R634" i="61"/>
  <c r="X634" i="61"/>
  <c r="M635" i="61" l="1"/>
  <c r="X635" i="61"/>
  <c r="U635" i="61"/>
  <c r="R635" i="61"/>
  <c r="M636" i="61" l="1"/>
  <c r="R636" i="61"/>
  <c r="X636" i="61"/>
  <c r="U636" i="61"/>
  <c r="M637" i="61" l="1"/>
  <c r="U637" i="61"/>
  <c r="R637" i="61"/>
  <c r="X637" i="61"/>
  <c r="M638" i="61" l="1"/>
  <c r="X638" i="61"/>
  <c r="U638" i="61"/>
  <c r="R638" i="61"/>
  <c r="M639" i="61" l="1"/>
  <c r="R639" i="61"/>
  <c r="U639" i="61"/>
  <c r="X639" i="61"/>
  <c r="M640" i="61" l="1"/>
  <c r="R640" i="61"/>
  <c r="X640" i="61"/>
  <c r="U640" i="61"/>
  <c r="M641" i="61" l="1"/>
  <c r="U641" i="61"/>
  <c r="R641" i="61"/>
  <c r="X641" i="61"/>
  <c r="M642" i="61" l="1"/>
  <c r="X642" i="61"/>
  <c r="U642" i="61"/>
  <c r="R642" i="61"/>
  <c r="M643" i="61" l="1"/>
  <c r="U643" i="61"/>
  <c r="R643" i="61"/>
  <c r="X643" i="61"/>
  <c r="M644" i="61" l="1"/>
  <c r="R644" i="61"/>
  <c r="U644" i="61"/>
  <c r="X644" i="61"/>
  <c r="M645" i="61" l="1"/>
  <c r="U645" i="61"/>
  <c r="X645" i="61"/>
  <c r="R645" i="61"/>
  <c r="M646" i="61" l="1"/>
  <c r="R646" i="61"/>
  <c r="U646" i="61"/>
  <c r="X646" i="61"/>
  <c r="M647" i="61" l="1"/>
  <c r="X647" i="61"/>
  <c r="R647" i="61"/>
  <c r="U647" i="61"/>
  <c r="M648" i="61" l="1"/>
  <c r="U648" i="61"/>
  <c r="X648" i="61"/>
  <c r="R648" i="61"/>
  <c r="M649" i="61" l="1"/>
  <c r="R649" i="61"/>
  <c r="U649" i="61"/>
  <c r="X649" i="61"/>
  <c r="M650" i="61" l="1"/>
  <c r="X650" i="61"/>
  <c r="U650" i="61"/>
  <c r="R650" i="61"/>
  <c r="M651" i="61" l="1"/>
  <c r="X651" i="61"/>
  <c r="U651" i="61"/>
  <c r="R651" i="61"/>
  <c r="M652" i="61" l="1"/>
  <c r="R652" i="61"/>
  <c r="X652" i="61"/>
  <c r="U652" i="61"/>
  <c r="M653" i="61" l="1"/>
  <c r="U653" i="61"/>
  <c r="X653" i="61"/>
  <c r="R653" i="61"/>
  <c r="M654" i="61" l="1"/>
  <c r="R654" i="61"/>
  <c r="U654" i="61"/>
  <c r="X654" i="61"/>
  <c r="M655" i="61" l="1"/>
  <c r="X655" i="61"/>
  <c r="R655" i="61"/>
  <c r="U655" i="61"/>
  <c r="M656" i="61" l="1"/>
  <c r="U656" i="61"/>
  <c r="X656" i="61"/>
  <c r="R656" i="61"/>
  <c r="M657" i="61" l="1"/>
  <c r="X657" i="61"/>
  <c r="R657" i="61"/>
  <c r="U657" i="61"/>
  <c r="M658" i="61" l="1"/>
  <c r="R658" i="61"/>
  <c r="X658" i="61"/>
  <c r="U658" i="61"/>
  <c r="M659" i="61" l="1"/>
  <c r="U659" i="61"/>
  <c r="R659" i="61"/>
  <c r="X659" i="61"/>
  <c r="M660" i="61" l="1"/>
  <c r="X660" i="61"/>
  <c r="U660" i="61"/>
  <c r="R660" i="61"/>
  <c r="M661" i="61" l="1"/>
  <c r="X661" i="61"/>
  <c r="U661" i="61"/>
  <c r="R661" i="61"/>
  <c r="M662" i="61" l="1"/>
  <c r="X662" i="61"/>
  <c r="R662" i="61"/>
  <c r="U662" i="61"/>
  <c r="M663" i="61" l="1"/>
  <c r="U663" i="61"/>
  <c r="X663" i="61"/>
  <c r="R663" i="61"/>
  <c r="M664" i="61" l="1"/>
  <c r="U664" i="61"/>
  <c r="R664" i="61"/>
  <c r="X664" i="61"/>
  <c r="M665" i="61" l="1"/>
  <c r="X665" i="61"/>
  <c r="R665" i="61"/>
  <c r="U665" i="61"/>
  <c r="M666" i="61" l="1"/>
  <c r="U666" i="61"/>
  <c r="X666" i="61"/>
  <c r="R666" i="61"/>
  <c r="M667" i="61" l="1"/>
  <c r="U667" i="61"/>
  <c r="X667" i="61"/>
  <c r="R667" i="61"/>
  <c r="M668" i="61" l="1"/>
  <c r="U668" i="61"/>
  <c r="R668" i="61"/>
  <c r="X668" i="61"/>
  <c r="M669" i="61" l="1"/>
  <c r="U669" i="61"/>
  <c r="R669" i="61"/>
  <c r="X669" i="61"/>
  <c r="M670" i="61" l="1"/>
  <c r="U670" i="61"/>
  <c r="X670" i="61"/>
  <c r="R670" i="61"/>
  <c r="M671" i="61" l="1"/>
  <c r="R671" i="61"/>
  <c r="U671" i="61"/>
  <c r="X671" i="61"/>
  <c r="M672" i="61" l="1"/>
  <c r="R672" i="61"/>
  <c r="U672" i="61"/>
  <c r="X672" i="61"/>
  <c r="M673" i="61" l="1"/>
  <c r="R673" i="61"/>
  <c r="X673" i="61"/>
  <c r="U673" i="61"/>
  <c r="M674" i="61" l="1"/>
  <c r="X674" i="61"/>
  <c r="R674" i="61"/>
  <c r="U674" i="61"/>
  <c r="M675" i="61" l="1"/>
  <c r="X675" i="61"/>
  <c r="U675" i="61"/>
  <c r="R675" i="61"/>
  <c r="M676" i="61" l="1"/>
  <c r="U676" i="61"/>
  <c r="X676" i="61"/>
  <c r="R676" i="61"/>
  <c r="M677" i="61" l="1"/>
  <c r="X677" i="61"/>
  <c r="U677" i="61"/>
  <c r="R677" i="61"/>
  <c r="M678" i="61" l="1"/>
  <c r="X678" i="61"/>
  <c r="U678" i="61"/>
  <c r="R678" i="61"/>
  <c r="M679" i="61" l="1"/>
  <c r="U679" i="61"/>
  <c r="X679" i="61"/>
  <c r="R679" i="61"/>
  <c r="M680" i="61" l="1"/>
  <c r="U680" i="61"/>
  <c r="X680" i="61"/>
  <c r="R680" i="61"/>
  <c r="M681" i="61" l="1"/>
  <c r="U681" i="61"/>
  <c r="X681" i="61"/>
  <c r="R681" i="61"/>
  <c r="M682" i="61" l="1"/>
  <c r="R682" i="61"/>
  <c r="X682" i="61"/>
  <c r="U682" i="61"/>
  <c r="M683" i="61" l="1"/>
  <c r="U683" i="61"/>
  <c r="R683" i="61"/>
  <c r="X683" i="61"/>
  <c r="M684" i="61" l="1"/>
  <c r="U684" i="61"/>
  <c r="X684" i="61"/>
  <c r="R684" i="61"/>
  <c r="M685" i="61" l="1"/>
  <c r="X685" i="61"/>
  <c r="U685" i="61"/>
  <c r="R685" i="61"/>
  <c r="M686" i="61" l="1"/>
  <c r="X686" i="61"/>
  <c r="U686" i="61"/>
  <c r="R686" i="61"/>
  <c r="M687" i="61" l="1"/>
  <c r="X687" i="61"/>
  <c r="R687" i="61"/>
  <c r="U687" i="61"/>
  <c r="M688" i="61" l="1"/>
  <c r="R688" i="61"/>
  <c r="X688" i="61"/>
  <c r="U688" i="61"/>
  <c r="M689" i="61" l="1"/>
  <c r="X689" i="61"/>
  <c r="U689" i="61"/>
  <c r="R689" i="61"/>
  <c r="M690" i="61" l="1"/>
  <c r="X690" i="61"/>
  <c r="R690" i="61"/>
  <c r="U690" i="61"/>
  <c r="M691" i="61" l="1"/>
  <c r="X691" i="61"/>
  <c r="U691" i="61"/>
  <c r="R691" i="61"/>
  <c r="M692" i="61" l="1"/>
  <c r="X692" i="61"/>
  <c r="U692" i="61"/>
  <c r="R692" i="61"/>
  <c r="M693" i="61" l="1"/>
  <c r="R693" i="61"/>
  <c r="X693" i="61"/>
  <c r="U693" i="61"/>
  <c r="M694" i="61" l="1"/>
  <c r="X694" i="61"/>
  <c r="U694" i="61"/>
  <c r="R694" i="61"/>
  <c r="M695" i="61" l="1"/>
  <c r="X695" i="61"/>
  <c r="R695" i="61"/>
  <c r="U695" i="61"/>
  <c r="M696" i="61" l="1"/>
  <c r="X696" i="61"/>
  <c r="R696" i="61"/>
  <c r="U696" i="61"/>
  <c r="M697" i="61" l="1"/>
  <c r="X697" i="61"/>
  <c r="U697" i="61"/>
  <c r="R697" i="61"/>
  <c r="M698" i="61" l="1"/>
  <c r="U698" i="61"/>
  <c r="R698" i="61"/>
  <c r="X698" i="61"/>
  <c r="M699" i="61" l="1"/>
  <c r="U699" i="61"/>
  <c r="R699" i="61"/>
  <c r="X699" i="61"/>
  <c r="M700" i="61" l="1"/>
  <c r="R700" i="61"/>
  <c r="U700" i="61"/>
  <c r="X700" i="61"/>
  <c r="M701" i="61" l="1"/>
  <c r="R701" i="61"/>
  <c r="U701" i="61"/>
  <c r="X701" i="61"/>
  <c r="M702" i="61" l="1"/>
  <c r="X702" i="61"/>
  <c r="U702" i="61"/>
  <c r="R702" i="61"/>
  <c r="M703" i="61" l="1"/>
  <c r="U703" i="61"/>
  <c r="X703" i="61"/>
  <c r="R703" i="61"/>
  <c r="M704" i="61" l="1"/>
  <c r="X704" i="61"/>
  <c r="R704" i="61"/>
  <c r="U704" i="61"/>
  <c r="M705" i="61" l="1"/>
  <c r="X705" i="61"/>
  <c r="R705" i="61"/>
  <c r="U705" i="61"/>
  <c r="M706" i="61" l="1"/>
  <c r="R706" i="61"/>
  <c r="X706" i="61"/>
  <c r="U706" i="61"/>
  <c r="M707" i="61" l="1"/>
  <c r="X707" i="61"/>
  <c r="U707" i="61"/>
  <c r="R707" i="61"/>
  <c r="M708" i="61" l="1"/>
  <c r="X708" i="61"/>
  <c r="R708" i="61"/>
  <c r="U708" i="61"/>
  <c r="M709" i="61" l="1"/>
  <c r="X709" i="61"/>
  <c r="R709" i="61"/>
  <c r="U709" i="61"/>
  <c r="M710" i="61" l="1"/>
  <c r="R710" i="61"/>
  <c r="X710" i="61"/>
  <c r="U710" i="61"/>
  <c r="M711" i="61" l="1"/>
  <c r="R711" i="61"/>
  <c r="U711" i="61"/>
  <c r="X711" i="61"/>
  <c r="M712" i="61" l="1"/>
  <c r="R712" i="61"/>
  <c r="X712" i="61"/>
  <c r="U712" i="61"/>
  <c r="M713" i="61" l="1"/>
  <c r="X713" i="61"/>
  <c r="U713" i="61"/>
  <c r="R713" i="61"/>
  <c r="M714" i="61" l="1"/>
  <c r="U714" i="61"/>
  <c r="X714" i="61"/>
  <c r="R714" i="61"/>
  <c r="M715" i="61" l="1"/>
  <c r="R715" i="61"/>
  <c r="X715" i="61"/>
  <c r="U715" i="61"/>
  <c r="M716" i="61" l="1"/>
  <c r="R716" i="61"/>
  <c r="X716" i="61"/>
  <c r="U716" i="61"/>
  <c r="M717" i="61" l="1"/>
  <c r="X717" i="61"/>
  <c r="U717" i="61"/>
  <c r="R717" i="61"/>
  <c r="M718" i="61" l="1"/>
  <c r="R718" i="61"/>
  <c r="U718" i="61"/>
  <c r="X718" i="61"/>
  <c r="M719" i="61" l="1"/>
  <c r="X719" i="61"/>
  <c r="R719" i="61"/>
  <c r="U719" i="61"/>
  <c r="M720" i="61" l="1"/>
  <c r="R720" i="61"/>
  <c r="U720" i="61"/>
  <c r="X720" i="61"/>
  <c r="M721" i="61" l="1"/>
  <c r="R721" i="61"/>
  <c r="X721" i="61"/>
  <c r="U721" i="61"/>
  <c r="M722" i="61" l="1"/>
  <c r="X722" i="61"/>
  <c r="U722" i="61"/>
  <c r="R722" i="61"/>
  <c r="M723" i="61" l="1"/>
  <c r="X723" i="61"/>
  <c r="R723" i="61"/>
  <c r="U723" i="61"/>
  <c r="M724" i="61" l="1"/>
  <c r="U724" i="61"/>
  <c r="R724" i="61"/>
  <c r="X724" i="61"/>
  <c r="M725" i="61" l="1"/>
  <c r="R725" i="61"/>
  <c r="U725" i="61"/>
  <c r="X725" i="61"/>
  <c r="M726" i="61" l="1"/>
  <c r="X726" i="61"/>
  <c r="U726" i="61"/>
  <c r="R726" i="61"/>
  <c r="M727" i="61" l="1"/>
  <c r="U727" i="61"/>
  <c r="X727" i="61"/>
  <c r="R727" i="61"/>
  <c r="M728" i="61" l="1"/>
  <c r="U728" i="61"/>
  <c r="X728" i="61"/>
  <c r="R728" i="61"/>
  <c r="M729" i="61" l="1"/>
  <c r="X729" i="61"/>
  <c r="R729" i="61"/>
  <c r="U729" i="61"/>
  <c r="M730" i="61" l="1"/>
  <c r="X730" i="61"/>
  <c r="U730" i="61"/>
  <c r="R730" i="61"/>
  <c r="M731" i="61" l="1"/>
  <c r="X731" i="61"/>
  <c r="R731" i="61"/>
  <c r="U731" i="61"/>
  <c r="M732" i="61" l="1"/>
  <c r="X732" i="61"/>
  <c r="R732" i="61"/>
  <c r="U732" i="61"/>
  <c r="M733" i="61" l="1"/>
  <c r="X733" i="61"/>
  <c r="U733" i="61"/>
  <c r="R733" i="61"/>
  <c r="M734" i="61" l="1"/>
  <c r="X734" i="61"/>
  <c r="R734" i="61"/>
  <c r="U734" i="61"/>
  <c r="M735" i="61" l="1"/>
  <c r="X735" i="61"/>
  <c r="U735" i="61"/>
  <c r="R735" i="61"/>
  <c r="M736" i="61" l="1"/>
  <c r="R736" i="61"/>
  <c r="U736" i="61"/>
  <c r="X736" i="61"/>
  <c r="M737" i="61" l="1"/>
  <c r="U737" i="61"/>
  <c r="R737" i="61"/>
  <c r="X737" i="61"/>
  <c r="M738" i="61" l="1"/>
  <c r="R738" i="61"/>
  <c r="X738" i="61"/>
  <c r="U738" i="61"/>
  <c r="M739" i="61" l="1"/>
  <c r="U739" i="61"/>
  <c r="R739" i="61"/>
  <c r="X739" i="61"/>
  <c r="M740" i="61" l="1"/>
  <c r="U740" i="61"/>
  <c r="X740" i="61"/>
  <c r="R740" i="61"/>
  <c r="M741" i="61" l="1"/>
  <c r="X741" i="61"/>
  <c r="U741" i="61"/>
  <c r="R741" i="61"/>
  <c r="M742" i="61" l="1"/>
  <c r="X742" i="61"/>
  <c r="R742" i="61"/>
  <c r="U742" i="61"/>
  <c r="M743" i="61" l="1"/>
  <c r="R743" i="61"/>
  <c r="U743" i="61"/>
  <c r="X743" i="61"/>
  <c r="M744" i="61" l="1"/>
  <c r="X744" i="61"/>
  <c r="R744" i="61"/>
  <c r="U744" i="61"/>
  <c r="M745" i="61" l="1"/>
  <c r="U745" i="61"/>
  <c r="R745" i="61"/>
  <c r="X745" i="61"/>
  <c r="M746" i="61" l="1"/>
  <c r="X746" i="61"/>
  <c r="U746" i="61"/>
  <c r="R746" i="61"/>
  <c r="M747" i="61" l="1"/>
  <c r="U747" i="61"/>
  <c r="R747" i="61"/>
  <c r="X747" i="61"/>
  <c r="M748" i="61" l="1"/>
  <c r="X748" i="61"/>
  <c r="R748" i="61"/>
  <c r="U748" i="61"/>
  <c r="M749" i="61" l="1"/>
  <c r="U749" i="61"/>
  <c r="X749" i="61"/>
  <c r="R749" i="61"/>
  <c r="M750" i="61" l="1"/>
  <c r="X750" i="61"/>
  <c r="U750" i="61"/>
  <c r="R750" i="61"/>
  <c r="M751" i="61" l="1"/>
  <c r="X751" i="61"/>
  <c r="R751" i="61"/>
  <c r="U751" i="61"/>
  <c r="M752" i="61" l="1"/>
  <c r="X752" i="61"/>
  <c r="U752" i="61"/>
  <c r="R752" i="61"/>
  <c r="M753" i="61" l="1"/>
  <c r="R753" i="61"/>
  <c r="X753" i="61"/>
  <c r="U753" i="61"/>
  <c r="M754" i="61" l="1"/>
  <c r="U754" i="61"/>
  <c r="X754" i="61"/>
  <c r="R754" i="61"/>
  <c r="M755" i="61" l="1"/>
  <c r="R755" i="61"/>
  <c r="X755" i="61"/>
  <c r="U755" i="61"/>
  <c r="M756" i="61" l="1"/>
  <c r="U756" i="61"/>
  <c r="X756" i="61"/>
  <c r="R756" i="61"/>
  <c r="M757" i="61" l="1"/>
  <c r="R757" i="61"/>
  <c r="X757" i="61"/>
  <c r="U757" i="61"/>
  <c r="M758" i="61" l="1"/>
  <c r="X758" i="61"/>
  <c r="R758" i="61"/>
  <c r="U758" i="61"/>
  <c r="M759" i="61" l="1"/>
  <c r="R759" i="61"/>
  <c r="X759" i="61"/>
  <c r="U759" i="61"/>
  <c r="M760" i="61" l="1"/>
  <c r="X760" i="61"/>
  <c r="U760" i="61"/>
  <c r="R760" i="61"/>
  <c r="M761" i="61" l="1"/>
  <c r="U761" i="61"/>
  <c r="R761" i="61"/>
  <c r="X761" i="61"/>
  <c r="M762" i="61" l="1"/>
  <c r="R762" i="61"/>
  <c r="X762" i="61"/>
  <c r="U762" i="61"/>
  <c r="M763" i="61" l="1"/>
  <c r="X763" i="61"/>
  <c r="R763" i="61"/>
  <c r="U763" i="61"/>
  <c r="M764" i="61" l="1"/>
  <c r="X764" i="61"/>
  <c r="R764" i="61"/>
  <c r="U764" i="61"/>
  <c r="M765" i="61" l="1"/>
  <c r="X765" i="61"/>
  <c r="U765" i="61"/>
  <c r="R765" i="61"/>
  <c r="M766" i="61" l="1"/>
  <c r="U766" i="61"/>
  <c r="X766" i="61"/>
  <c r="R766" i="61"/>
  <c r="M767" i="61" l="1"/>
  <c r="R767" i="61"/>
  <c r="X767" i="61"/>
  <c r="U767" i="61"/>
  <c r="M768" i="61" l="1"/>
  <c r="X768" i="61"/>
  <c r="U768" i="61"/>
  <c r="R768" i="61"/>
  <c r="M769" i="61" l="1"/>
  <c r="R769" i="61"/>
  <c r="X769" i="61"/>
  <c r="U769" i="61"/>
  <c r="M770" i="61" l="1"/>
  <c r="U770" i="61"/>
  <c r="R770" i="61"/>
  <c r="X770" i="61"/>
  <c r="M771" i="61" l="1"/>
  <c r="U771" i="61"/>
  <c r="X771" i="61"/>
  <c r="R771" i="61"/>
  <c r="M772" i="61" l="1"/>
  <c r="X772" i="61"/>
  <c r="R772" i="61"/>
  <c r="U772" i="61"/>
  <c r="M773" i="61" l="1"/>
  <c r="R773" i="61"/>
  <c r="X773" i="61"/>
  <c r="U773" i="61"/>
  <c r="M774" i="61" l="1"/>
  <c r="X774" i="61"/>
  <c r="U774" i="61"/>
  <c r="R774" i="61"/>
  <c r="M775" i="61" l="1"/>
  <c r="U775" i="61"/>
  <c r="R775" i="61"/>
  <c r="X775" i="61"/>
  <c r="M776" i="61" l="1"/>
  <c r="U776" i="61"/>
  <c r="X776" i="61"/>
  <c r="R776" i="61"/>
  <c r="M777" i="61" l="1"/>
  <c r="X777" i="61"/>
  <c r="R777" i="61"/>
  <c r="U777" i="61"/>
  <c r="M778" i="61" l="1"/>
  <c r="U778" i="61"/>
  <c r="X778" i="61"/>
  <c r="R778" i="61"/>
  <c r="M779" i="61" l="1"/>
  <c r="X779" i="61"/>
  <c r="R779" i="61"/>
  <c r="U779" i="61"/>
  <c r="M780" i="61" l="1"/>
  <c r="R780" i="61"/>
  <c r="U780" i="61"/>
  <c r="X780" i="61"/>
  <c r="M781" i="61" l="1"/>
  <c r="X781" i="61"/>
  <c r="U781" i="61"/>
  <c r="R781" i="61"/>
  <c r="M782" i="61" l="1"/>
  <c r="R782" i="61"/>
  <c r="U782" i="61"/>
  <c r="X782" i="61"/>
  <c r="M783" i="61" l="1"/>
  <c r="R783" i="61"/>
  <c r="U783" i="61"/>
  <c r="X783" i="61"/>
  <c r="M784" i="61" l="1"/>
  <c r="X784" i="61"/>
  <c r="R784" i="61"/>
  <c r="U784" i="61"/>
  <c r="M785" i="61" l="1"/>
  <c r="U785" i="61"/>
  <c r="X785" i="61"/>
  <c r="R785" i="61"/>
  <c r="M786" i="61" l="1"/>
  <c r="X786" i="61"/>
  <c r="R786" i="61"/>
  <c r="U786" i="61"/>
  <c r="M787" i="61" l="1"/>
  <c r="U787" i="61"/>
  <c r="R787" i="61"/>
  <c r="X787" i="61"/>
  <c r="M788" i="61" l="1"/>
  <c r="X788" i="61"/>
  <c r="U788" i="61"/>
  <c r="R788" i="61"/>
  <c r="M789" i="61" l="1"/>
  <c r="U789" i="61"/>
  <c r="X789" i="61"/>
  <c r="R789" i="61"/>
  <c r="M790" i="61" l="1"/>
  <c r="X790" i="61"/>
  <c r="U790" i="61"/>
  <c r="R790" i="61"/>
  <c r="M791" i="61" l="1"/>
  <c r="R791" i="61"/>
  <c r="U791" i="61"/>
  <c r="X791" i="61"/>
  <c r="M792" i="61" l="1"/>
  <c r="R792" i="61"/>
  <c r="U792" i="61"/>
  <c r="X792" i="61"/>
  <c r="M793" i="61" l="1"/>
  <c r="X793" i="61"/>
  <c r="R793" i="61"/>
  <c r="U793" i="61"/>
  <c r="M794" i="61" l="1"/>
  <c r="R794" i="61"/>
  <c r="X794" i="61"/>
  <c r="U794" i="61"/>
  <c r="M795" i="61" l="1"/>
  <c r="R795" i="61"/>
  <c r="U795" i="61"/>
  <c r="X795" i="61"/>
  <c r="M796" i="61" l="1"/>
  <c r="R796" i="61"/>
  <c r="U796" i="61"/>
  <c r="X796" i="61"/>
  <c r="M797" i="61" l="1"/>
  <c r="R797" i="61"/>
  <c r="X797" i="61"/>
  <c r="U797" i="61"/>
  <c r="M798" i="61" l="1"/>
  <c r="U798" i="61"/>
  <c r="X798" i="61"/>
  <c r="R798" i="61"/>
  <c r="M799" i="61" l="1"/>
  <c r="R799" i="61"/>
  <c r="U799" i="61"/>
  <c r="X799" i="61"/>
  <c r="M800" i="61" l="1"/>
  <c r="X800" i="61"/>
  <c r="R800" i="61"/>
  <c r="U800" i="61"/>
  <c r="M801" i="61" l="1"/>
  <c r="R801" i="61"/>
  <c r="X801" i="61"/>
  <c r="U801" i="61"/>
  <c r="M802" i="61" l="1"/>
  <c r="X802" i="61"/>
  <c r="R802" i="61"/>
  <c r="U802" i="61"/>
  <c r="M803" i="61" l="1"/>
  <c r="R803" i="61"/>
  <c r="X803" i="61"/>
  <c r="U803" i="61"/>
  <c r="M804" i="61" l="1"/>
  <c r="R804" i="61"/>
  <c r="U804" i="61"/>
  <c r="X804" i="61"/>
  <c r="M805" i="61" l="1"/>
  <c r="X805" i="61"/>
  <c r="U805" i="61"/>
  <c r="R805" i="61"/>
  <c r="M806" i="61" l="1"/>
  <c r="X806" i="61"/>
  <c r="R806" i="61"/>
  <c r="U806" i="61"/>
  <c r="M807" i="61" l="1"/>
  <c r="X807" i="61"/>
  <c r="U807" i="61"/>
  <c r="R807" i="61"/>
  <c r="M808" i="61" l="1"/>
  <c r="U808" i="61"/>
  <c r="X808" i="61"/>
  <c r="R808" i="61"/>
  <c r="M809" i="61" l="1"/>
  <c r="R809" i="61"/>
  <c r="X809" i="61"/>
  <c r="U809" i="61"/>
  <c r="M810" i="61" l="1"/>
  <c r="X810" i="61"/>
  <c r="R810" i="61"/>
  <c r="U810" i="61"/>
  <c r="M811" i="61" l="1"/>
  <c r="U811" i="61"/>
  <c r="R811" i="61"/>
  <c r="X811" i="61"/>
  <c r="M812" i="61" l="1"/>
  <c r="X812" i="61"/>
  <c r="R812" i="61"/>
  <c r="U812" i="61"/>
  <c r="M813" i="61" l="1"/>
  <c r="X813" i="61"/>
  <c r="R813" i="61"/>
  <c r="U813" i="61"/>
  <c r="M814" i="61" l="1"/>
  <c r="X814" i="61"/>
  <c r="U814" i="61"/>
  <c r="R814" i="61"/>
  <c r="M815" i="61" l="1"/>
  <c r="X815" i="61"/>
  <c r="U815" i="61"/>
  <c r="R815" i="61"/>
  <c r="M816" i="61" l="1"/>
  <c r="U816" i="61"/>
  <c r="X816" i="61"/>
  <c r="R816" i="61"/>
  <c r="M817" i="61" l="1"/>
  <c r="X817" i="61"/>
  <c r="R817" i="61"/>
  <c r="U817" i="61"/>
  <c r="M818" i="61" l="1"/>
  <c r="X818" i="61"/>
  <c r="R818" i="61"/>
  <c r="U818" i="61"/>
  <c r="M819" i="61" l="1"/>
  <c r="U819" i="61"/>
  <c r="X819" i="61"/>
  <c r="R819" i="61"/>
  <c r="M820" i="61" l="1"/>
  <c r="R820" i="61"/>
  <c r="X820" i="61"/>
  <c r="U820" i="61"/>
  <c r="M821" i="61" l="1"/>
  <c r="R821" i="61"/>
  <c r="U821" i="61"/>
  <c r="X821" i="61"/>
  <c r="M822" i="61" l="1"/>
  <c r="X822" i="61"/>
  <c r="U822" i="61"/>
  <c r="R822" i="61"/>
  <c r="M823" i="61" l="1"/>
  <c r="X823" i="61"/>
  <c r="U823" i="61"/>
  <c r="R823" i="61"/>
  <c r="M824" i="61" l="1"/>
  <c r="U824" i="61"/>
  <c r="X824" i="61"/>
  <c r="R824" i="61"/>
  <c r="M825" i="61" l="1"/>
  <c r="R825" i="61"/>
  <c r="X825" i="61"/>
  <c r="U825" i="61"/>
  <c r="M826" i="61" l="1"/>
  <c r="R826" i="61"/>
  <c r="X826" i="61"/>
  <c r="U826" i="61"/>
  <c r="M827" i="61" l="1"/>
  <c r="X827" i="61"/>
  <c r="U827" i="61"/>
  <c r="R827" i="61"/>
  <c r="M828" i="61" l="1"/>
  <c r="U828" i="61"/>
  <c r="X828" i="61"/>
  <c r="R828" i="61"/>
  <c r="M829" i="61" l="1"/>
  <c r="X829" i="61"/>
  <c r="U829" i="61"/>
  <c r="R829" i="61"/>
  <c r="M830" i="61" l="1"/>
  <c r="R830" i="61"/>
  <c r="U830" i="61"/>
  <c r="X830" i="61"/>
  <c r="M831" i="61" l="1"/>
  <c r="X831" i="61"/>
  <c r="U831" i="61"/>
  <c r="R831" i="61"/>
  <c r="M832" i="61" l="1"/>
  <c r="U832" i="61"/>
  <c r="R832" i="61"/>
  <c r="X832" i="61"/>
  <c r="M833" i="61" l="1"/>
  <c r="R833" i="61"/>
  <c r="U833" i="61"/>
  <c r="X833" i="61"/>
  <c r="M834" i="61" l="1"/>
  <c r="U834" i="61"/>
  <c r="R834" i="61"/>
  <c r="X834" i="61"/>
  <c r="M835" i="61" l="1"/>
  <c r="U835" i="61"/>
  <c r="R835" i="61"/>
  <c r="X835" i="61"/>
  <c r="M836" i="61" l="1"/>
  <c r="R836" i="61"/>
  <c r="X836" i="61"/>
  <c r="U836" i="61"/>
  <c r="M837" i="61" l="1"/>
  <c r="X837" i="61"/>
  <c r="R837" i="61"/>
  <c r="U837" i="61"/>
  <c r="M838" i="61" l="1"/>
  <c r="U838" i="61"/>
  <c r="X838" i="61"/>
  <c r="R838" i="61"/>
  <c r="M839" i="61" l="1"/>
  <c r="X839" i="61"/>
  <c r="R839" i="61"/>
  <c r="U839" i="61"/>
  <c r="M840" i="61" l="1"/>
  <c r="R840" i="61"/>
  <c r="U840" i="61"/>
  <c r="X840" i="61"/>
  <c r="M841" i="61" l="1"/>
  <c r="X841" i="61"/>
  <c r="U841" i="61"/>
  <c r="R841" i="61"/>
  <c r="M842" i="61" l="1"/>
  <c r="U842" i="61"/>
  <c r="R842" i="61"/>
  <c r="X842" i="61"/>
  <c r="M843" i="61" l="1"/>
  <c r="X843" i="61"/>
  <c r="R843" i="61"/>
  <c r="U843" i="61"/>
  <c r="M844" i="61" l="1"/>
  <c r="R844" i="61"/>
  <c r="X844" i="61"/>
  <c r="U844" i="61"/>
  <c r="M845" i="61" l="1"/>
  <c r="U845" i="61"/>
  <c r="X845" i="61"/>
  <c r="R845" i="61"/>
  <c r="M846" i="61" l="1"/>
  <c r="R846" i="61"/>
  <c r="U846" i="61"/>
  <c r="X846" i="61"/>
  <c r="M847" i="61" l="1"/>
  <c r="R847" i="61"/>
  <c r="X847" i="61"/>
  <c r="U847" i="61"/>
  <c r="M848" i="61" l="1"/>
  <c r="U848" i="61"/>
  <c r="X848" i="61"/>
  <c r="R848" i="61"/>
  <c r="M849" i="61" l="1"/>
  <c r="R849" i="61"/>
  <c r="X849" i="61"/>
  <c r="U849" i="61"/>
  <c r="M850" i="61" l="1"/>
  <c r="R850" i="61"/>
  <c r="U850" i="61"/>
  <c r="X850" i="61"/>
  <c r="M851" i="61" l="1"/>
  <c r="R851" i="61"/>
  <c r="X851" i="61"/>
  <c r="U851" i="61"/>
  <c r="M852" i="61" l="1"/>
  <c r="X852" i="61"/>
  <c r="R852" i="61"/>
  <c r="U852" i="61"/>
  <c r="M853" i="61" l="1"/>
  <c r="X853" i="61"/>
  <c r="R853" i="61"/>
  <c r="U853" i="61"/>
  <c r="M854" i="61" l="1"/>
  <c r="U854" i="61"/>
  <c r="R854" i="61"/>
  <c r="X854" i="61"/>
  <c r="M855" i="61" l="1"/>
  <c r="R855" i="61"/>
  <c r="U855" i="61"/>
  <c r="X855" i="61"/>
  <c r="M856" i="61" l="1"/>
  <c r="U856" i="61"/>
  <c r="X856" i="61"/>
  <c r="R856" i="61"/>
  <c r="M857" i="61" l="1"/>
  <c r="R857" i="61"/>
  <c r="X857" i="61"/>
  <c r="U857" i="61"/>
  <c r="M858" i="61" l="1"/>
  <c r="X858" i="61"/>
  <c r="U858" i="61"/>
  <c r="R858" i="61"/>
  <c r="M859" i="61" l="1"/>
  <c r="U859" i="61"/>
  <c r="X859" i="61"/>
  <c r="R859" i="61"/>
  <c r="M860" i="61" l="1"/>
  <c r="X860" i="61"/>
  <c r="R860" i="61"/>
  <c r="U860" i="61"/>
  <c r="M861" i="61" l="1"/>
  <c r="U861" i="61"/>
  <c r="R861" i="61"/>
  <c r="X861" i="61"/>
  <c r="M862" i="61" l="1"/>
  <c r="R862" i="61"/>
  <c r="U862" i="61"/>
  <c r="X862" i="61"/>
  <c r="M863" i="61" l="1"/>
  <c r="X863" i="61"/>
  <c r="R863" i="61"/>
  <c r="U863" i="61"/>
  <c r="M864" i="61" l="1"/>
  <c r="X864" i="61"/>
  <c r="R864" i="61"/>
  <c r="U864" i="61"/>
  <c r="M865" i="61" l="1"/>
  <c r="X865" i="61"/>
  <c r="R865" i="61"/>
  <c r="U865" i="61"/>
  <c r="M866" i="61" l="1"/>
  <c r="U866" i="61"/>
  <c r="R866" i="61"/>
  <c r="X866" i="61"/>
  <c r="M867" i="61" l="1"/>
  <c r="U867" i="61"/>
  <c r="X867" i="61"/>
  <c r="R867" i="61"/>
  <c r="M868" i="61" l="1"/>
  <c r="U868" i="61"/>
  <c r="R868" i="61"/>
  <c r="X868" i="61"/>
  <c r="M869" i="61" l="1"/>
  <c r="U869" i="61"/>
  <c r="X869" i="61"/>
  <c r="R869" i="61"/>
  <c r="M870" i="61" l="1"/>
  <c r="U870" i="61"/>
  <c r="R870" i="61"/>
  <c r="X870" i="61"/>
  <c r="M871" i="61" l="1"/>
  <c r="R871" i="61"/>
  <c r="U871" i="61"/>
  <c r="X871" i="61"/>
  <c r="M872" i="61" l="1"/>
  <c r="X872" i="61"/>
  <c r="U872" i="61"/>
  <c r="R872" i="61"/>
  <c r="M873" i="61" l="1"/>
  <c r="U873" i="61"/>
  <c r="X873" i="61"/>
  <c r="R873" i="61"/>
  <c r="M874" i="61" l="1"/>
  <c r="U874" i="61"/>
  <c r="X874" i="61"/>
  <c r="R874" i="61"/>
  <c r="M875" i="61" l="1"/>
  <c r="X875" i="61"/>
  <c r="R875" i="61"/>
  <c r="U875" i="61"/>
  <c r="M876" i="61" l="1"/>
  <c r="R876" i="61"/>
  <c r="U876" i="61"/>
  <c r="X876" i="61"/>
  <c r="M877" i="61" l="1"/>
  <c r="U877" i="61"/>
  <c r="X877" i="61"/>
  <c r="R877" i="61"/>
  <c r="M878" i="61" l="1"/>
  <c r="R878" i="61"/>
  <c r="X878" i="61"/>
  <c r="U878" i="61"/>
  <c r="M879" i="61" l="1"/>
  <c r="U879" i="61"/>
  <c r="R879" i="61"/>
  <c r="X879" i="61"/>
  <c r="M880" i="61" l="1"/>
  <c r="R880" i="61"/>
  <c r="X880" i="61"/>
  <c r="U880" i="61"/>
  <c r="M881" i="61" l="1"/>
  <c r="X881" i="61"/>
  <c r="U881" i="61"/>
  <c r="R881" i="61"/>
  <c r="M882" i="61" l="1"/>
  <c r="X882" i="61"/>
  <c r="U882" i="61"/>
  <c r="R882" i="61"/>
  <c r="M883" i="61" l="1"/>
  <c r="U883" i="61"/>
  <c r="R883" i="61"/>
  <c r="X883" i="61"/>
  <c r="M884" i="61" l="1"/>
  <c r="R884" i="61"/>
  <c r="X884" i="61"/>
  <c r="U884" i="61"/>
  <c r="M885" i="61" l="1"/>
  <c r="X885" i="61"/>
  <c r="R885" i="61"/>
  <c r="U885" i="61"/>
  <c r="M886" i="61" l="1"/>
  <c r="R886" i="61"/>
  <c r="U886" i="61"/>
  <c r="X886" i="61"/>
  <c r="M887" i="61" l="1"/>
  <c r="X887" i="61"/>
  <c r="U887" i="61"/>
  <c r="R887" i="61"/>
  <c r="M888" i="61" l="1"/>
  <c r="X888" i="61"/>
  <c r="R888" i="61"/>
  <c r="U888" i="61"/>
  <c r="M889" i="61" l="1"/>
  <c r="R889" i="61"/>
  <c r="X889" i="61"/>
  <c r="U889" i="61"/>
  <c r="M890" i="61" l="1"/>
  <c r="X890" i="61"/>
  <c r="R890" i="61"/>
  <c r="U890" i="61"/>
  <c r="M891" i="61" l="1"/>
  <c r="R891" i="61"/>
  <c r="X891" i="61"/>
  <c r="U891" i="61"/>
  <c r="M892" i="61" l="1"/>
  <c r="U892" i="61"/>
  <c r="R892" i="61"/>
  <c r="X892" i="61"/>
  <c r="M893" i="61" l="1"/>
  <c r="U893" i="61"/>
  <c r="X893" i="61"/>
  <c r="R893" i="61"/>
  <c r="M894" i="61" l="1"/>
  <c r="X894" i="61"/>
  <c r="U894" i="61"/>
  <c r="R894" i="61"/>
  <c r="M895" i="61" l="1"/>
  <c r="R895" i="61"/>
  <c r="U895" i="61"/>
  <c r="X895" i="61"/>
  <c r="M896" i="61" l="1"/>
  <c r="X896" i="61"/>
  <c r="R896" i="61"/>
  <c r="U896" i="61"/>
  <c r="M897" i="61" l="1"/>
  <c r="R897" i="61"/>
  <c r="X897" i="61"/>
  <c r="U897" i="61"/>
  <c r="M898" i="61" l="1"/>
  <c r="U898" i="61"/>
  <c r="X898" i="61"/>
  <c r="R898" i="61"/>
  <c r="M899" i="61" l="1"/>
  <c r="U899" i="61"/>
  <c r="X899" i="61"/>
  <c r="R899" i="61"/>
  <c r="M900" i="61" l="1"/>
  <c r="U900" i="61"/>
  <c r="R900" i="61"/>
  <c r="X900" i="61"/>
  <c r="M901" i="61" l="1"/>
  <c r="U901" i="61"/>
  <c r="R901" i="61"/>
  <c r="X901" i="61"/>
  <c r="M902" i="61" l="1"/>
  <c r="U902" i="61"/>
  <c r="X902" i="61"/>
  <c r="R902" i="61"/>
  <c r="M903" i="61" l="1"/>
  <c r="U903" i="61"/>
  <c r="R903" i="61"/>
  <c r="X903" i="61"/>
  <c r="M904" i="61" l="1"/>
  <c r="R904" i="61"/>
  <c r="X904" i="61"/>
  <c r="U904" i="61"/>
  <c r="M905" i="61" l="1"/>
  <c r="X905" i="61"/>
  <c r="R905" i="61"/>
  <c r="U905" i="61"/>
  <c r="M906" i="61" l="1"/>
  <c r="X906" i="61"/>
  <c r="R906" i="61"/>
  <c r="U906" i="61"/>
  <c r="M907" i="61" l="1"/>
  <c r="U907" i="61"/>
  <c r="X907" i="61"/>
  <c r="R907" i="61"/>
  <c r="M908" i="61" l="1"/>
  <c r="R908" i="61"/>
  <c r="X908" i="61"/>
  <c r="U908" i="61"/>
  <c r="M909" i="61" l="1"/>
  <c r="X909" i="61"/>
  <c r="R909" i="61"/>
  <c r="U909" i="61"/>
  <c r="M910" i="61" l="1"/>
  <c r="X910" i="61"/>
  <c r="R910" i="61"/>
  <c r="U910" i="61"/>
  <c r="M911" i="61" l="1"/>
  <c r="X911" i="61"/>
  <c r="R911" i="61"/>
  <c r="U911" i="61"/>
  <c r="M912" i="61" l="1"/>
  <c r="X912" i="61"/>
  <c r="U912" i="61"/>
  <c r="R912" i="61"/>
  <c r="M913" i="61" l="1"/>
  <c r="X913" i="61"/>
  <c r="U913" i="61"/>
  <c r="R913" i="61"/>
  <c r="M914" i="61" l="1"/>
  <c r="U914" i="61"/>
  <c r="R914" i="61"/>
  <c r="X914" i="61"/>
  <c r="M915" i="61" l="1"/>
  <c r="U915" i="61"/>
  <c r="X915" i="61"/>
  <c r="R915" i="61"/>
  <c r="M916" i="61" l="1"/>
  <c r="X916" i="61"/>
  <c r="R916" i="61"/>
  <c r="U916" i="61"/>
  <c r="M917" i="61" l="1"/>
  <c r="U917" i="61"/>
  <c r="X917" i="61"/>
  <c r="R917" i="61"/>
  <c r="M918" i="61" l="1"/>
  <c r="X918" i="61"/>
  <c r="R918" i="61"/>
  <c r="U918" i="61"/>
  <c r="M919" i="61" l="1"/>
  <c r="U919" i="61"/>
  <c r="X919" i="61"/>
  <c r="R919" i="61"/>
  <c r="M920" i="61" l="1"/>
  <c r="R920" i="61"/>
  <c r="U920" i="61"/>
  <c r="X920" i="61"/>
  <c r="M921" i="61" l="1"/>
  <c r="R921" i="61"/>
  <c r="X921" i="61"/>
  <c r="U921" i="61"/>
  <c r="M922" i="61" l="1"/>
  <c r="X922" i="61"/>
  <c r="U922" i="61"/>
  <c r="R922" i="61"/>
  <c r="M923" i="61" l="1"/>
  <c r="X923" i="61"/>
  <c r="U923" i="61"/>
  <c r="R923" i="61"/>
  <c r="M924" i="61" l="1"/>
  <c r="X924" i="61"/>
  <c r="U924" i="61"/>
  <c r="R924" i="61"/>
  <c r="M925" i="61" l="1"/>
  <c r="U925" i="61"/>
  <c r="R925" i="61"/>
  <c r="X925" i="61"/>
  <c r="M926" i="61" l="1"/>
  <c r="R926" i="61"/>
  <c r="U926" i="61"/>
  <c r="X926" i="61"/>
  <c r="M927" i="61" l="1"/>
  <c r="X927" i="61"/>
  <c r="R927" i="61"/>
  <c r="U927" i="61"/>
  <c r="M928" i="61" l="1"/>
  <c r="X928" i="61"/>
  <c r="R928" i="61"/>
  <c r="U928" i="61"/>
  <c r="M929" i="61" l="1"/>
  <c r="R929" i="61"/>
  <c r="X929" i="61"/>
  <c r="U929" i="61"/>
  <c r="M930" i="61" l="1"/>
  <c r="R930" i="61"/>
  <c r="U930" i="61"/>
  <c r="X930" i="61"/>
  <c r="M931" i="61" l="1"/>
  <c r="U931" i="61"/>
  <c r="X931" i="61"/>
  <c r="R931" i="61"/>
  <c r="M932" i="61" l="1"/>
  <c r="X932" i="61"/>
  <c r="R932" i="61"/>
  <c r="U932" i="61"/>
  <c r="M933" i="61" l="1"/>
  <c r="X933" i="61"/>
  <c r="U933" i="61"/>
  <c r="R933" i="61"/>
  <c r="M934" i="61" l="1"/>
  <c r="X934" i="61"/>
  <c r="R934" i="61"/>
  <c r="U934" i="61"/>
  <c r="M935" i="61" l="1"/>
  <c r="R935" i="61"/>
  <c r="X935" i="61"/>
  <c r="U935" i="61"/>
  <c r="M936" i="61" l="1"/>
  <c r="U936" i="61"/>
  <c r="X936" i="61"/>
  <c r="R936" i="61"/>
  <c r="M937" i="61" l="1"/>
  <c r="X937" i="61"/>
  <c r="U937" i="61"/>
  <c r="R937" i="61"/>
  <c r="M938" i="61" l="1"/>
  <c r="R938" i="61"/>
  <c r="U938" i="61"/>
  <c r="X938" i="61"/>
  <c r="M939" i="61" l="1"/>
  <c r="R939" i="61"/>
  <c r="U939" i="61"/>
  <c r="X939" i="61"/>
  <c r="M940" i="61" l="1"/>
  <c r="R940" i="61"/>
  <c r="X940" i="61"/>
  <c r="U940" i="61"/>
  <c r="M941" i="61" l="1"/>
  <c r="U941" i="61"/>
  <c r="X941" i="61"/>
  <c r="R941" i="61"/>
  <c r="M942" i="61" l="1"/>
  <c r="U942" i="61"/>
  <c r="X942" i="61"/>
  <c r="R942" i="61"/>
  <c r="M943" i="61" l="1"/>
  <c r="X943" i="61"/>
  <c r="R943" i="61"/>
  <c r="U943" i="61"/>
  <c r="M944" i="61" l="1"/>
  <c r="U944" i="61"/>
  <c r="R944" i="61"/>
  <c r="X944" i="61"/>
  <c r="M945" i="61" l="1"/>
  <c r="U945" i="61"/>
  <c r="R945" i="61"/>
  <c r="X945" i="61"/>
  <c r="M946" i="61" l="1"/>
  <c r="U946" i="61"/>
  <c r="R946" i="61"/>
  <c r="X946" i="61"/>
  <c r="M947" i="61" l="1"/>
  <c r="U947" i="61"/>
  <c r="X947" i="61"/>
  <c r="R947" i="61"/>
  <c r="M948" i="61" l="1"/>
  <c r="X948" i="61"/>
  <c r="U948" i="61"/>
  <c r="R948" i="61"/>
  <c r="M949" i="61" l="1"/>
  <c r="X949" i="61"/>
  <c r="R949" i="61"/>
  <c r="U949" i="61"/>
  <c r="M950" i="61" l="1"/>
  <c r="X950" i="61"/>
  <c r="U950" i="61"/>
  <c r="R950" i="61"/>
  <c r="M951" i="61" l="1"/>
  <c r="X951" i="61"/>
  <c r="U951" i="61"/>
  <c r="R951" i="61"/>
  <c r="M952" i="61" l="1"/>
  <c r="X952" i="61"/>
  <c r="R952" i="61"/>
  <c r="U952" i="61"/>
  <c r="M953" i="61" l="1"/>
  <c r="R953" i="61"/>
  <c r="U953" i="61"/>
  <c r="X953" i="61"/>
  <c r="M954" i="61" l="1"/>
  <c r="U954" i="61"/>
  <c r="R954" i="61"/>
  <c r="X954" i="61"/>
  <c r="M955" i="61" l="1"/>
  <c r="X955" i="61"/>
  <c r="R955" i="61"/>
  <c r="U955" i="61"/>
  <c r="M956" i="61" l="1"/>
  <c r="U956" i="61"/>
  <c r="R956" i="61"/>
  <c r="X956" i="61"/>
  <c r="M957" i="61" l="1"/>
  <c r="X957" i="61"/>
  <c r="U957" i="61"/>
  <c r="R957" i="61"/>
  <c r="M958" i="61" l="1"/>
  <c r="U958" i="61"/>
  <c r="X958" i="61"/>
  <c r="R958" i="61"/>
  <c r="M959" i="61" l="1"/>
  <c r="X959" i="61"/>
  <c r="U959" i="61"/>
  <c r="R959" i="61"/>
  <c r="M960" i="61" l="1"/>
  <c r="R960" i="61"/>
  <c r="U960" i="61"/>
  <c r="X960" i="61"/>
  <c r="M961" i="61" l="1"/>
  <c r="U961" i="61"/>
  <c r="R961" i="61"/>
  <c r="X961" i="61"/>
  <c r="M962" i="61" l="1"/>
  <c r="U962" i="61"/>
  <c r="X962" i="61"/>
  <c r="R962" i="61"/>
  <c r="M963" i="61" l="1"/>
  <c r="X963" i="61"/>
  <c r="R963" i="61"/>
  <c r="U963" i="61"/>
  <c r="M964" i="61" l="1"/>
  <c r="U964" i="61"/>
  <c r="X964" i="61"/>
  <c r="R964" i="61"/>
  <c r="M965" i="61" l="1"/>
  <c r="X965" i="61"/>
  <c r="R965" i="61"/>
  <c r="U965" i="61"/>
  <c r="M966" i="61" l="1"/>
  <c r="X966" i="61"/>
  <c r="R966" i="61"/>
  <c r="U966" i="61"/>
  <c r="M967" i="61" l="1"/>
  <c r="R967" i="61"/>
  <c r="X967" i="61"/>
  <c r="U967" i="61"/>
  <c r="M968" i="61" l="1"/>
  <c r="U968" i="61"/>
  <c r="X968" i="61"/>
  <c r="R968" i="61"/>
  <c r="M969" i="61" l="1"/>
  <c r="R969" i="61"/>
  <c r="U969" i="61"/>
  <c r="X969" i="61"/>
  <c r="M970" i="61" l="1"/>
  <c r="R970" i="61"/>
  <c r="U970" i="61"/>
  <c r="X970" i="61"/>
  <c r="M971" i="61" l="1"/>
  <c r="U971" i="61"/>
  <c r="X971" i="61"/>
  <c r="R971" i="61"/>
  <c r="M972" i="61" l="1"/>
  <c r="U972" i="61"/>
  <c r="X972" i="61"/>
  <c r="R972" i="61"/>
  <c r="M973" i="61" l="1"/>
  <c r="X973" i="61"/>
  <c r="R973" i="61"/>
  <c r="U973" i="61"/>
  <c r="M974" i="61" l="1"/>
  <c r="X974" i="61"/>
  <c r="U974" i="61"/>
  <c r="R974" i="61"/>
  <c r="M975" i="61" l="1"/>
  <c r="U975" i="61"/>
  <c r="X975" i="61"/>
  <c r="R975" i="61"/>
  <c r="M976" i="61" l="1"/>
  <c r="R976" i="61"/>
  <c r="X976" i="61"/>
  <c r="U976" i="61"/>
  <c r="M977" i="61" l="1"/>
  <c r="X977" i="61"/>
  <c r="R977" i="61"/>
  <c r="U977" i="61"/>
  <c r="M978" i="61" l="1"/>
  <c r="U978" i="61"/>
  <c r="R978" i="61"/>
  <c r="X978" i="61"/>
  <c r="M979" i="61" l="1"/>
  <c r="U979" i="61"/>
  <c r="R979" i="61"/>
  <c r="X979" i="61"/>
  <c r="M980" i="61" l="1"/>
  <c r="X980" i="61"/>
  <c r="R980" i="61"/>
  <c r="U980" i="61"/>
  <c r="M981" i="61" l="1"/>
  <c r="X981" i="61"/>
  <c r="R981" i="61"/>
  <c r="U981" i="61"/>
  <c r="M982" i="61" l="1"/>
  <c r="X982" i="61"/>
  <c r="U982" i="61"/>
  <c r="R982" i="61"/>
  <c r="M983" i="61" l="1"/>
  <c r="X983" i="61"/>
  <c r="R983" i="61"/>
  <c r="U983" i="61"/>
  <c r="M984" i="61" l="1"/>
  <c r="X984" i="61"/>
  <c r="U984" i="61"/>
  <c r="R984" i="61"/>
  <c r="M985" i="61" l="1"/>
  <c r="R985" i="61"/>
  <c r="X985" i="61"/>
  <c r="U985" i="61"/>
  <c r="M986" i="61" l="1"/>
  <c r="U986" i="61"/>
  <c r="X986" i="61"/>
  <c r="R986" i="61"/>
  <c r="M987" i="61" l="1"/>
  <c r="X987" i="61"/>
  <c r="R987" i="61"/>
  <c r="U987" i="61"/>
  <c r="M988" i="61" l="1"/>
  <c r="X988" i="61"/>
  <c r="U988" i="61"/>
  <c r="R988" i="61"/>
  <c r="M989" i="61" l="1"/>
  <c r="U989" i="61"/>
  <c r="R989" i="61"/>
  <c r="X989" i="61"/>
  <c r="M990" i="61" l="1"/>
  <c r="X990" i="61"/>
  <c r="U990" i="61"/>
  <c r="R990" i="61"/>
  <c r="M991" i="61" l="1"/>
  <c r="R991" i="61"/>
  <c r="X991" i="61"/>
  <c r="U991" i="61"/>
  <c r="M992" i="61" l="1"/>
  <c r="X992" i="61"/>
  <c r="Z7" i="61" s="1"/>
  <c r="U992" i="61"/>
  <c r="W9" i="61" s="1"/>
  <c r="R992" i="61"/>
  <c r="T5" i="61" s="1"/>
  <c r="Q3" i="61" l="1"/>
  <c r="Q14" i="61"/>
  <c r="Q9" i="61"/>
  <c r="Q16" i="61"/>
  <c r="Q5" i="61"/>
  <c r="Q6" i="61"/>
  <c r="Q13" i="61"/>
  <c r="Q4" i="61"/>
  <c r="Q7" i="61"/>
  <c r="Q11" i="61"/>
  <c r="Q10" i="61"/>
  <c r="Q12" i="61"/>
  <c r="Q8" i="61"/>
  <c r="Q15" i="61"/>
  <c r="Q19" i="61"/>
  <c r="Q17" i="61"/>
  <c r="Q18" i="61"/>
  <c r="Q21" i="61"/>
  <c r="Q20" i="61"/>
  <c r="Q22" i="61"/>
  <c r="Q25" i="61"/>
  <c r="Q23" i="61"/>
  <c r="Q24" i="61"/>
  <c r="Q26" i="61"/>
  <c r="Q27" i="61"/>
  <c r="Z50" i="61"/>
  <c r="Z724" i="61"/>
  <c r="Z573" i="61"/>
  <c r="Z989" i="61"/>
  <c r="Z139" i="61"/>
  <c r="Z807" i="61"/>
  <c r="Z42" i="61"/>
  <c r="Z446" i="61"/>
  <c r="Z947" i="61"/>
  <c r="Z218" i="61"/>
  <c r="Z67" i="61"/>
  <c r="Z260" i="61"/>
  <c r="Z809" i="61"/>
  <c r="Z270" i="61"/>
  <c r="Z490" i="61"/>
  <c r="Z208" i="61"/>
  <c r="Z601" i="61"/>
  <c r="Z915" i="61"/>
  <c r="Z276" i="61"/>
  <c r="Z308" i="61"/>
  <c r="Z834" i="61"/>
  <c r="Z596" i="61"/>
  <c r="Z273" i="61"/>
  <c r="Z486" i="61"/>
  <c r="Z512" i="61"/>
  <c r="Z507" i="61"/>
  <c r="Z413" i="61"/>
  <c r="Z127" i="61"/>
  <c r="Z189" i="61"/>
  <c r="Z716" i="61"/>
  <c r="Z853" i="61"/>
  <c r="Z790" i="61"/>
  <c r="Z140" i="61"/>
  <c r="Z185" i="61"/>
  <c r="Z190" i="61"/>
  <c r="Z394" i="61"/>
  <c r="Z950" i="61"/>
  <c r="Z319" i="61"/>
  <c r="Z150" i="61"/>
  <c r="Z939" i="61"/>
  <c r="Z661" i="61"/>
  <c r="Z983" i="61"/>
  <c r="Z149" i="61"/>
  <c r="Z440" i="61"/>
  <c r="Z578" i="61"/>
  <c r="Z335" i="61"/>
  <c r="Z914" i="61"/>
  <c r="Z160" i="61"/>
  <c r="Z903" i="61"/>
  <c r="Z229" i="61"/>
  <c r="Z675" i="61"/>
  <c r="Z329" i="61"/>
  <c r="Z770" i="61"/>
  <c r="Z198" i="61"/>
  <c r="Z695" i="61"/>
  <c r="Z280" i="61"/>
  <c r="Z268" i="61"/>
  <c r="Z550" i="61"/>
  <c r="Z599" i="61"/>
  <c r="Z407" i="61"/>
  <c r="Z750" i="61"/>
  <c r="Z733" i="61"/>
  <c r="Z649" i="61"/>
  <c r="Z448" i="61"/>
  <c r="Z103" i="61"/>
  <c r="Z219" i="61"/>
  <c r="Z874" i="61"/>
  <c r="Z689" i="61"/>
  <c r="Z377" i="61"/>
  <c r="Z176" i="61"/>
  <c r="Z257" i="61"/>
  <c r="Z81" i="61"/>
  <c r="Z145" i="61"/>
  <c r="Z645" i="61"/>
  <c r="Z726" i="61"/>
  <c r="Z18" i="61"/>
  <c r="Z638" i="61"/>
  <c r="Z921" i="61"/>
  <c r="Z232" i="61"/>
  <c r="Z152" i="61"/>
  <c r="Z721" i="61"/>
  <c r="Z126" i="61"/>
  <c r="Z48" i="61"/>
  <c r="Z862" i="61"/>
  <c r="Z496" i="61"/>
  <c r="Z591" i="61"/>
  <c r="Z116" i="61"/>
  <c r="Z409" i="61"/>
  <c r="Z696" i="61"/>
  <c r="Z509" i="61"/>
  <c r="Z223" i="61"/>
  <c r="Z779" i="61"/>
  <c r="Z154" i="61"/>
  <c r="Z598" i="61"/>
  <c r="Z349" i="61"/>
  <c r="Z63" i="61"/>
  <c r="Z125" i="61"/>
  <c r="Z954" i="61"/>
  <c r="Z917" i="61"/>
  <c r="Z854" i="61"/>
  <c r="Z76" i="61"/>
  <c r="Z315" i="61"/>
  <c r="Z549" i="61"/>
  <c r="Z79" i="61"/>
  <c r="Z385" i="61"/>
  <c r="Z243" i="61"/>
  <c r="Z774" i="61"/>
  <c r="Z156" i="61"/>
  <c r="Z818" i="61"/>
  <c r="Z73" i="61"/>
  <c r="Z8" i="61"/>
  <c r="Z13" i="61"/>
  <c r="Z489" i="61"/>
  <c r="Z107" i="61"/>
  <c r="Z153" i="61"/>
  <c r="Z109" i="61"/>
  <c r="Z970" i="61"/>
  <c r="Z755" i="61"/>
  <c r="Z318" i="61"/>
  <c r="Z569" i="61"/>
  <c r="Z294" i="61"/>
  <c r="Z842" i="61"/>
  <c r="Z323" i="61"/>
  <c r="Z557" i="61"/>
  <c r="Z314" i="61"/>
  <c r="Z336" i="61"/>
  <c r="Z945" i="61"/>
  <c r="Z560" i="61"/>
  <c r="Z971" i="61"/>
  <c r="Z878" i="61"/>
  <c r="Z771" i="61"/>
  <c r="Z572" i="61"/>
  <c r="Z354" i="61"/>
  <c r="Z530" i="61"/>
  <c r="Z29" i="61"/>
  <c r="Z580" i="61"/>
  <c r="Z56" i="61"/>
  <c r="Z542" i="61"/>
  <c r="Z484" i="61"/>
  <c r="Z977" i="61"/>
  <c r="Z609" i="61"/>
  <c r="Z652" i="61"/>
  <c r="Z240" i="61"/>
  <c r="Z90" i="61"/>
  <c r="Z847" i="61"/>
  <c r="Z199" i="61"/>
  <c r="Z492" i="61"/>
  <c r="Z698" i="61"/>
  <c r="Z142" i="61"/>
  <c r="Z390" i="61"/>
  <c r="Z322" i="61"/>
  <c r="Z131" i="61"/>
  <c r="Z469" i="61"/>
  <c r="Z432" i="61"/>
  <c r="Z655" i="61"/>
  <c r="Z52" i="61"/>
  <c r="Z345" i="61"/>
  <c r="Z418" i="61"/>
  <c r="Z445" i="61"/>
  <c r="Z159" i="61"/>
  <c r="Z82" i="61"/>
  <c r="Z241" i="61"/>
  <c r="Z639" i="61"/>
  <c r="Z468" i="61"/>
  <c r="Z278" i="61"/>
  <c r="Z525" i="61"/>
  <c r="Z239" i="61"/>
  <c r="Z481" i="61"/>
  <c r="Z339" i="61"/>
  <c r="Z741" i="61"/>
  <c r="Z279" i="61"/>
  <c r="Z62" i="61"/>
  <c r="Z738" i="61"/>
  <c r="Z80" i="61"/>
  <c r="Z36" i="61"/>
  <c r="Z316" i="61"/>
  <c r="Z470" i="61"/>
  <c r="Z574" i="61"/>
  <c r="Z186" i="61"/>
  <c r="Z157" i="61"/>
  <c r="Z130" i="61"/>
  <c r="Z471" i="61"/>
  <c r="Z669" i="61"/>
  <c r="Z857" i="61"/>
  <c r="Z443" i="61"/>
  <c r="Z615" i="61"/>
  <c r="Z899" i="61"/>
  <c r="Z283" i="61"/>
  <c r="Z781" i="61"/>
  <c r="Z937" i="61"/>
  <c r="Z123" i="61"/>
  <c r="Z357" i="61"/>
  <c r="Z203" i="61"/>
  <c r="Z873" i="61"/>
  <c r="Z614" i="61"/>
  <c r="Z538" i="61"/>
  <c r="Z969" i="61"/>
  <c r="Z288" i="61"/>
  <c r="Z743" i="61"/>
  <c r="Z949" i="61"/>
  <c r="Z886" i="61"/>
  <c r="Z44" i="61"/>
  <c r="Z296" i="61"/>
  <c r="Z875" i="61"/>
  <c r="Z597" i="61"/>
  <c r="Z919" i="61"/>
  <c r="Z213" i="61"/>
  <c r="Z493" i="61"/>
  <c r="Z148" i="61"/>
  <c r="Z757" i="61"/>
  <c r="Z612" i="61"/>
  <c r="Z53" i="61"/>
  <c r="Z170" i="61"/>
  <c r="Z683" i="61"/>
  <c r="Z727" i="61"/>
  <c r="Z216" i="61"/>
  <c r="Z694" i="61"/>
  <c r="Z3" i="61"/>
  <c r="Z69" i="61"/>
  <c r="Z576" i="61"/>
  <c r="Z233" i="61"/>
  <c r="Z647" i="61"/>
  <c r="Z359" i="61"/>
  <c r="Z289" i="61"/>
  <c r="Z459" i="61"/>
  <c r="Z879" i="61"/>
  <c r="Z979" i="61"/>
  <c r="Z959" i="61"/>
  <c r="Z399" i="61"/>
  <c r="Z766" i="61"/>
  <c r="Z106" i="61"/>
  <c r="Z451" i="61"/>
  <c r="Z321" i="61"/>
  <c r="Z729" i="61"/>
  <c r="Z881" i="61"/>
  <c r="Z325" i="61"/>
  <c r="Z715" i="61"/>
  <c r="Z162" i="61"/>
  <c r="Z456" i="61"/>
  <c r="Z858" i="61"/>
  <c r="Z656" i="61"/>
  <c r="Z707" i="61"/>
  <c r="Z957" i="61"/>
  <c r="Z710" i="61"/>
  <c r="Z665" i="61"/>
  <c r="Z242" i="61"/>
  <c r="Z212" i="61"/>
  <c r="Z302" i="61"/>
  <c r="Z522" i="61"/>
  <c r="Z586" i="61"/>
  <c r="Z57" i="61"/>
  <c r="Z708" i="61"/>
  <c r="Z942" i="61"/>
  <c r="Z720" i="61"/>
  <c r="Z124" i="61"/>
  <c r="Z786" i="61"/>
  <c r="Z105" i="61"/>
  <c r="Z775" i="61"/>
  <c r="Z54" i="61"/>
  <c r="Z299" i="61"/>
  <c r="Z320" i="61"/>
  <c r="Z254" i="61"/>
  <c r="Z929" i="61"/>
  <c r="Z133" i="61"/>
  <c r="Z803" i="61"/>
  <c r="Z297" i="61"/>
  <c r="Z583" i="61"/>
  <c r="Z423" i="61"/>
  <c r="Z419" i="61"/>
  <c r="Z202" i="61"/>
  <c r="Z815" i="61"/>
  <c r="Z819" i="61"/>
  <c r="Z889" i="61"/>
  <c r="Z333" i="61"/>
  <c r="Z987" i="61"/>
  <c r="Z488" i="61"/>
  <c r="Z352" i="61"/>
  <c r="Z735" i="61"/>
  <c r="Z274" i="61"/>
  <c r="Z635" i="61"/>
  <c r="Z505" i="61"/>
  <c r="Z121" i="61"/>
  <c r="Z742" i="61"/>
  <c r="Z14" i="61"/>
  <c r="Z494" i="61"/>
  <c r="Z180" i="61"/>
  <c r="Z556" i="61"/>
  <c r="Z630" i="61"/>
  <c r="Z292" i="61"/>
  <c r="Z31" i="61"/>
  <c r="Z670" i="61"/>
  <c r="Z366" i="61"/>
  <c r="Z206" i="61"/>
  <c r="Z769" i="61"/>
  <c r="Z396" i="61"/>
  <c r="Z877" i="61"/>
  <c r="Z686" i="61"/>
  <c r="Z272" i="61"/>
  <c r="Z674" i="61"/>
  <c r="Z389" i="61"/>
  <c r="Z701" i="61"/>
  <c r="Z712" i="61"/>
  <c r="Z129" i="61"/>
  <c r="Z167" i="61"/>
  <c r="Z401" i="61"/>
  <c r="Z637" i="61"/>
  <c r="Z136" i="61"/>
  <c r="Z498" i="61"/>
  <c r="Z907" i="61"/>
  <c r="Z379" i="61"/>
  <c r="Z305" i="61"/>
  <c r="Z714" i="61"/>
  <c r="Z207" i="61"/>
  <c r="Z513" i="61"/>
  <c r="Z32" i="61"/>
  <c r="Z479" i="61"/>
  <c r="Z101" i="61"/>
  <c r="Z690" i="61"/>
  <c r="Z201" i="61"/>
  <c r="Z466" i="61"/>
  <c r="Z60" i="61"/>
  <c r="Z850" i="61"/>
  <c r="Z41" i="61"/>
  <c r="Z839" i="61"/>
  <c r="Z293" i="61"/>
  <c r="Z43" i="61"/>
  <c r="Z192" i="61"/>
  <c r="Z600" i="61"/>
  <c r="Z837" i="61"/>
  <c r="Z467" i="61"/>
  <c r="Z77" i="61"/>
  <c r="Z553" i="61"/>
  <c r="Z24" i="61"/>
  <c r="Z347" i="61"/>
  <c r="Z991" i="61"/>
  <c r="Z264" i="61"/>
  <c r="Z891" i="61"/>
  <c r="Z935" i="61"/>
  <c r="Z351" i="61"/>
  <c r="Z629" i="61"/>
  <c r="Z951" i="61"/>
  <c r="Z181" i="61"/>
  <c r="Z388" i="61"/>
  <c r="Z811" i="61"/>
  <c r="Z506" i="61"/>
  <c r="Z855" i="61"/>
  <c r="Z277" i="61"/>
  <c r="Z829" i="61"/>
  <c r="Z893" i="61"/>
  <c r="Z491" i="61"/>
  <c r="Z387" i="61"/>
  <c r="Z734" i="61"/>
  <c r="Z487" i="61"/>
  <c r="Z11" i="61"/>
  <c r="Z621" i="61"/>
  <c r="Z680" i="61"/>
  <c r="Z502" i="61"/>
  <c r="Z504" i="61"/>
  <c r="Z913" i="61"/>
  <c r="Z608" i="61"/>
  <c r="Z861" i="61"/>
  <c r="Z835" i="61"/>
  <c r="Z934" i="61"/>
  <c r="Z93" i="61"/>
  <c r="Z262" i="61"/>
  <c r="Z672" i="61"/>
  <c r="Z817" i="61"/>
  <c r="Z455" i="61"/>
  <c r="Z114" i="61"/>
  <c r="Z659" i="61"/>
  <c r="Z376" i="61"/>
  <c r="Z454" i="61"/>
  <c r="Z158" i="61"/>
  <c r="Z115" i="61"/>
  <c r="Z902" i="61"/>
  <c r="Z28" i="61"/>
  <c r="Z946" i="61"/>
  <c r="Z128" i="61"/>
  <c r="Z826" i="61"/>
  <c r="Z143" i="61"/>
  <c r="Z449" i="61"/>
  <c r="Z307" i="61"/>
  <c r="Z644" i="61"/>
  <c r="Z37" i="61"/>
  <c r="Z754" i="61"/>
  <c r="Z137" i="61"/>
  <c r="Z718" i="61"/>
  <c r="Z613" i="61"/>
  <c r="Z4" i="61"/>
  <c r="Z252" i="61"/>
  <c r="Z700" i="61"/>
  <c r="Z217" i="61"/>
  <c r="Z173" i="61"/>
  <c r="Z906" i="61"/>
  <c r="Z298" i="61"/>
  <c r="Z358" i="61"/>
  <c r="Z885" i="61"/>
  <c r="Z822" i="61"/>
  <c r="Z108" i="61"/>
  <c r="Z383" i="61"/>
  <c r="Z592" i="61"/>
  <c r="Z789" i="61"/>
  <c r="Z676" i="61"/>
  <c r="Z21" i="61"/>
  <c r="Z713" i="61"/>
  <c r="Z344" i="61"/>
  <c r="Z625" i="61"/>
  <c r="Z922" i="61"/>
  <c r="Z249" i="61"/>
  <c r="Z730" i="61"/>
  <c r="Z643" i="61"/>
  <c r="Z499" i="61"/>
  <c r="Z833" i="61"/>
  <c r="Z391" i="61"/>
  <c r="Z523" i="61"/>
  <c r="Z392" i="61"/>
  <c r="Z91" i="61"/>
  <c r="Z739" i="61"/>
  <c r="Z933" i="61"/>
  <c r="Z458" i="61"/>
  <c r="Z797" i="61"/>
  <c r="Z636" i="61"/>
  <c r="Z365" i="61"/>
  <c r="Z20" i="61"/>
  <c r="Z562" i="61"/>
  <c r="Z865" i="61"/>
  <c r="Z182" i="61"/>
  <c r="Z534" i="61"/>
  <c r="Z70" i="61"/>
  <c r="Z660" i="61"/>
  <c r="Z478" i="61"/>
  <c r="Z74" i="61"/>
  <c r="Z424" i="61"/>
  <c r="Z330" i="61"/>
  <c r="Z751" i="61"/>
  <c r="Z673" i="61"/>
  <c r="Z441" i="61"/>
  <c r="Z161" i="61"/>
  <c r="Z427" i="61"/>
  <c r="Z911" i="61"/>
  <c r="Z135" i="61"/>
  <c r="Z428" i="61"/>
  <c r="Z798" i="61"/>
  <c r="Z528" i="61"/>
  <c r="Z558" i="61"/>
  <c r="Z547" i="61"/>
  <c r="Z723" i="61"/>
  <c r="Z895" i="61"/>
  <c r="Z463" i="61"/>
  <c r="Z731" i="61"/>
  <c r="Z678" i="61"/>
  <c r="Z196" i="61"/>
  <c r="Z310" i="61"/>
  <c r="Z30" i="61"/>
  <c r="Z83" i="61"/>
  <c r="Z582" i="61"/>
  <c r="Z23" i="61"/>
  <c r="Z290" i="61"/>
  <c r="Z561" i="61"/>
  <c r="Z163" i="61"/>
  <c r="Z119" i="61"/>
  <c r="Z412" i="61"/>
  <c r="Z100" i="61"/>
  <c r="Z195" i="61"/>
  <c r="Z238" i="61"/>
  <c r="Z191" i="61"/>
  <c r="Z473" i="61"/>
  <c r="Z982" i="61"/>
  <c r="Z795" i="61"/>
  <c r="Z799" i="61"/>
  <c r="Z699" i="61"/>
  <c r="Z704" i="61"/>
  <c r="Z685" i="61"/>
  <c r="Z386" i="61"/>
  <c r="Z187" i="61"/>
  <c r="Z421" i="61"/>
  <c r="Z785" i="61"/>
  <c r="Z650" i="61"/>
  <c r="Z589" i="61"/>
  <c r="Z453" i="61"/>
  <c r="Z668" i="61"/>
  <c r="Z59" i="61"/>
  <c r="Z974" i="61"/>
  <c r="Z563" i="61"/>
  <c r="Z72" i="61"/>
  <c r="Z651" i="61"/>
  <c r="Z384" i="61"/>
  <c r="Z590" i="61"/>
  <c r="Z193" i="61"/>
  <c r="Z658" i="61"/>
  <c r="Z961" i="61"/>
  <c r="Z267" i="61"/>
  <c r="Z408" i="61"/>
  <c r="Z430" i="61"/>
  <c r="Z442" i="61"/>
  <c r="Z328" i="61"/>
  <c r="Z859" i="61"/>
  <c r="Z894" i="61"/>
  <c r="Z480" i="61"/>
  <c r="Z607" i="61"/>
  <c r="Z436" i="61"/>
  <c r="Z438" i="61"/>
  <c r="Z214" i="61"/>
  <c r="Z831" i="61"/>
  <c r="Z210" i="61"/>
  <c r="Z667" i="61"/>
  <c r="Z324" i="61"/>
  <c r="Z47" i="61"/>
  <c r="Z236" i="61"/>
  <c r="Z147" i="61"/>
  <c r="Z285" i="61"/>
  <c r="Z342" i="61"/>
  <c r="Z631" i="61"/>
  <c r="Z375" i="61"/>
  <c r="Z369" i="61"/>
  <c r="Z227" i="61"/>
  <c r="Z183" i="61"/>
  <c r="Z476" i="61"/>
  <c r="Z642" i="61"/>
  <c r="Z271" i="61"/>
  <c r="Z978" i="61"/>
  <c r="Z96" i="61"/>
  <c r="Z838" i="61"/>
  <c r="Z92" i="61"/>
  <c r="Z882" i="61"/>
  <c r="Z9" i="61"/>
  <c r="Z846" i="61"/>
  <c r="Z909" i="61"/>
  <c r="Z546" i="61"/>
  <c r="Z113" i="61"/>
  <c r="Z626" i="61"/>
  <c r="Z617" i="61"/>
  <c r="Z406" i="61"/>
  <c r="Z474" i="61"/>
  <c r="Z434" i="61"/>
  <c r="Z810" i="61"/>
  <c r="Z75" i="61"/>
  <c r="Z618" i="61"/>
  <c r="Z753" i="61"/>
  <c r="Z460" i="61"/>
  <c r="Z259" i="61"/>
  <c r="Z346" i="61"/>
  <c r="Z926" i="61"/>
  <c r="Z46" i="61"/>
  <c r="Z531" i="61"/>
  <c r="Z761" i="61"/>
  <c r="Z581" i="61"/>
  <c r="Z602" i="61"/>
  <c r="Z205" i="61"/>
  <c r="Z684" i="61"/>
  <c r="Z38" i="61"/>
  <c r="Z26" i="61"/>
  <c r="Z863" i="61"/>
  <c r="Z431" i="61"/>
  <c r="Z763" i="61"/>
  <c r="Z17" i="61"/>
  <c r="Z697" i="61"/>
  <c r="Z628" i="61"/>
  <c r="Z200" i="61"/>
  <c r="Z923" i="61"/>
  <c r="Z405" i="61"/>
  <c r="Z416" i="61"/>
  <c r="Z671" i="61"/>
  <c r="Z372" i="61"/>
  <c r="Z571" i="61"/>
  <c r="Z679" i="61"/>
  <c r="Z356" i="61"/>
  <c r="Z565" i="61"/>
  <c r="Z887" i="61"/>
  <c r="Z245" i="61"/>
  <c r="Z452" i="61"/>
  <c r="Z374" i="61"/>
  <c r="Z510" i="61"/>
  <c r="Z10" i="61"/>
  <c r="Z197" i="61"/>
  <c r="Z843" i="61"/>
  <c r="Z250" i="61"/>
  <c r="Z266" i="61"/>
  <c r="Z783" i="61"/>
  <c r="Z263" i="61"/>
  <c r="Z258" i="61"/>
  <c r="Z340" i="61"/>
  <c r="Z400" i="61"/>
  <c r="Z687" i="61"/>
  <c r="Z501" i="61"/>
  <c r="Z472" i="61"/>
  <c r="Z517" i="61"/>
  <c r="Z653" i="61"/>
  <c r="Z666" i="61"/>
  <c r="Z851" i="61"/>
  <c r="Z49" i="61"/>
  <c r="Z585" i="61"/>
  <c r="Z570" i="61"/>
  <c r="Z503" i="61"/>
  <c r="Z27" i="61"/>
  <c r="Z332" i="61"/>
  <c r="Z110" i="61"/>
  <c r="Z634" i="61"/>
  <c r="Z362" i="61"/>
  <c r="Z641" i="61"/>
  <c r="Z986" i="61"/>
  <c r="Z749" i="61"/>
  <c r="Z555" i="61"/>
  <c r="Z104" i="61"/>
  <c r="Z890" i="61"/>
  <c r="Z657" i="61"/>
  <c r="Z664" i="61"/>
  <c r="Z398" i="61"/>
  <c r="Z132" i="61"/>
  <c r="Z425" i="61"/>
  <c r="Z611" i="61"/>
  <c r="Z6" i="61"/>
  <c r="Z692" i="61"/>
  <c r="Z301" i="61"/>
  <c r="Z410" i="61"/>
  <c r="Z709" i="61"/>
  <c r="Z910" i="61"/>
  <c r="Z141" i="61"/>
  <c r="Z938" i="61"/>
  <c r="Z97" i="61"/>
  <c r="Z411" i="61"/>
  <c r="Z927" i="61"/>
  <c r="Z367" i="61"/>
  <c r="Z827" i="61"/>
  <c r="Z514" i="61"/>
  <c r="Z78" i="61"/>
  <c r="Z231" i="61"/>
  <c r="Z821" i="61"/>
  <c r="Z758" i="61"/>
  <c r="Z172" i="61"/>
  <c r="Z447" i="61"/>
  <c r="Z747" i="61"/>
  <c r="Z230" i="61"/>
  <c r="Z791" i="61"/>
  <c r="Z341" i="61"/>
  <c r="Z801" i="61"/>
  <c r="Z194" i="61"/>
  <c r="Z171" i="61"/>
  <c r="Z256" i="61"/>
  <c r="Z511" i="61"/>
  <c r="Z711" i="61"/>
  <c r="Z248" i="61"/>
  <c r="Z33" i="61"/>
  <c r="Z395" i="61"/>
  <c r="Z943" i="61"/>
  <c r="Z941" i="61"/>
  <c r="Z782" i="61"/>
  <c r="Z282" i="61"/>
  <c r="Z610" i="61"/>
  <c r="Z370" i="61"/>
  <c r="Z627" i="61"/>
  <c r="Z845" i="61"/>
  <c r="Z745" i="61"/>
  <c r="Z40" i="61"/>
  <c r="Z794" i="61"/>
  <c r="Z286" i="61"/>
  <c r="Z605" i="61"/>
  <c r="Z604" i="61"/>
  <c r="Z313" i="61"/>
  <c r="Z871" i="61"/>
  <c r="Z184" i="61"/>
  <c r="Z905" i="61"/>
  <c r="Z624" i="61"/>
  <c r="Z705" i="61"/>
  <c r="Z284" i="61"/>
  <c r="Z841" i="61"/>
  <c r="Z251" i="61"/>
  <c r="Z767" i="61"/>
  <c r="Z338" i="61"/>
  <c r="Z603" i="61"/>
  <c r="Z397" i="61"/>
  <c r="Z111" i="61"/>
  <c r="Z353" i="61"/>
  <c r="Z211" i="61"/>
  <c r="Z371" i="61"/>
  <c r="Z575" i="61"/>
  <c r="Z532" i="61"/>
  <c r="Z51" i="61"/>
  <c r="Z966" i="61"/>
  <c r="Z303" i="61"/>
  <c r="Z545" i="61"/>
  <c r="Z64" i="61"/>
  <c r="Z962" i="61"/>
  <c r="Z34" i="61"/>
  <c r="Z87" i="61"/>
  <c r="Z380" i="61"/>
  <c r="Z930" i="61"/>
  <c r="Z144" i="61"/>
  <c r="Z393" i="61"/>
  <c r="Z429" i="61"/>
  <c r="Z477" i="61"/>
  <c r="Z253" i="61"/>
  <c r="Z564" i="61"/>
  <c r="Z287" i="61"/>
  <c r="Z234" i="61"/>
  <c r="Z520" i="61"/>
  <c r="Z426" i="61"/>
  <c r="Z778" i="61"/>
  <c r="Z901" i="61"/>
  <c r="Z209" i="61"/>
  <c r="Z360" i="61"/>
  <c r="Z814" i="61"/>
  <c r="Z825" i="61"/>
  <c r="Z548" i="61"/>
  <c r="Z646" i="61"/>
  <c r="Z606" i="61"/>
  <c r="Z616" i="61"/>
  <c r="Z373" i="61"/>
  <c r="Z485" i="61"/>
  <c r="Z334" i="61"/>
  <c r="Z963" i="61"/>
  <c r="Z403" i="61"/>
  <c r="Z717" i="61"/>
  <c r="Z98" i="61"/>
  <c r="Z595" i="61"/>
  <c r="Z435" i="61"/>
  <c r="Z420" i="61"/>
  <c r="Z830" i="61"/>
  <c r="Z422" i="61"/>
  <c r="Z138" i="61"/>
  <c r="Z497" i="61"/>
  <c r="Z16" i="61"/>
  <c r="Z311" i="61"/>
  <c r="Z188" i="61"/>
  <c r="Z706" i="61"/>
  <c r="Z66" i="61"/>
  <c r="Z151" i="61"/>
  <c r="Z444" i="61"/>
  <c r="Z866" i="61"/>
  <c r="Z25" i="61"/>
  <c r="Z164" i="61"/>
  <c r="Z457" i="61"/>
  <c r="Z593" i="61"/>
  <c r="Z495" i="61"/>
  <c r="Z134" i="61"/>
  <c r="Z662" i="61"/>
  <c r="Z228" i="61"/>
  <c r="Z178" i="61"/>
  <c r="Z61" i="61"/>
  <c r="Z537" i="61"/>
  <c r="Z981" i="61"/>
  <c r="Z918" i="61"/>
  <c r="Z12" i="61"/>
  <c r="Z640" i="61"/>
  <c r="Z269" i="61"/>
  <c r="Z559" i="61"/>
  <c r="Z58" i="61"/>
  <c r="Z224" i="61"/>
  <c r="Z568" i="61"/>
  <c r="Z86" i="61"/>
  <c r="Z955" i="61"/>
  <c r="Z326" i="61"/>
  <c r="Z65" i="61"/>
  <c r="Z681" i="61"/>
  <c r="Z533" i="61"/>
  <c r="Z677" i="61"/>
  <c r="Z515" i="61"/>
  <c r="Z450" i="61"/>
  <c r="Z166" i="61"/>
  <c r="Z84" i="61"/>
  <c r="Z898" i="61"/>
  <c r="Z765" i="61"/>
  <c r="Z813" i="61"/>
  <c r="Z622" i="61"/>
  <c r="Z177" i="61"/>
  <c r="Z762" i="61"/>
  <c r="Z691" i="61"/>
  <c r="Z953" i="61"/>
  <c r="Z146" i="61"/>
  <c r="Z155" i="61"/>
  <c r="Z793" i="61"/>
  <c r="Z633" i="61"/>
  <c r="Z295" i="61"/>
  <c r="Z529" i="61"/>
  <c r="Z577" i="61"/>
  <c r="Z759" i="61"/>
  <c r="Z118" i="61"/>
  <c r="Z94" i="61"/>
  <c r="Z99" i="61"/>
  <c r="Z55" i="61"/>
  <c r="Z348" i="61"/>
  <c r="Z415" i="61"/>
  <c r="Z355" i="61"/>
  <c r="Z567" i="61"/>
  <c r="Z439" i="61"/>
  <c r="Z433" i="61"/>
  <c r="Z291" i="61"/>
  <c r="Z247" i="61"/>
  <c r="Z540" i="61"/>
  <c r="Z849" i="61"/>
  <c r="Z312" i="61"/>
  <c r="Z587" i="61"/>
  <c r="Z552" i="61"/>
  <c r="Z368" i="61"/>
  <c r="Z719" i="61"/>
  <c r="Z327" i="61"/>
  <c r="Z220" i="61"/>
  <c r="Z566" i="61"/>
  <c r="Z381" i="61"/>
  <c r="Z95" i="61"/>
  <c r="Z244" i="61"/>
  <c r="Z15" i="61"/>
  <c r="Z300" i="61"/>
  <c r="Z179" i="61"/>
  <c r="Z461" i="61"/>
  <c r="Z175" i="61"/>
  <c r="Z417" i="61"/>
  <c r="Z275" i="61"/>
  <c r="Z337" i="61"/>
  <c r="Z648" i="61"/>
  <c r="Z990" i="61"/>
  <c r="Z483" i="61"/>
  <c r="Z465" i="61"/>
  <c r="Z475" i="61"/>
  <c r="Z437" i="61"/>
  <c r="Z925" i="61"/>
  <c r="Z579" i="61"/>
  <c r="Z584" i="61"/>
  <c r="Z22" i="61"/>
  <c r="Z702" i="61"/>
  <c r="Z554" i="61"/>
  <c r="Z535" i="61"/>
  <c r="Z787" i="61"/>
  <c r="Z122" i="61"/>
  <c r="Z551" i="61"/>
  <c r="Z746" i="61"/>
  <c r="Z536" i="61"/>
  <c r="Z773" i="61"/>
  <c r="Z174" i="61"/>
  <c r="Z965" i="61"/>
  <c r="Z806" i="61"/>
  <c r="Z221" i="61"/>
  <c r="Z693" i="61"/>
  <c r="Z378" i="61"/>
  <c r="Z117" i="61"/>
  <c r="Z306" i="61"/>
  <c r="Z619" i="61"/>
  <c r="Z663" i="61"/>
  <c r="Z343" i="61"/>
  <c r="Z39" i="61"/>
  <c r="Z204" i="61"/>
  <c r="Z414" i="61"/>
  <c r="Z823" i="61"/>
  <c r="Z309" i="61"/>
  <c r="Z516" i="61"/>
  <c r="Z35" i="61"/>
  <c r="Z246" i="61"/>
  <c r="Z226" i="61"/>
  <c r="Z688" i="61"/>
  <c r="Z737" i="61"/>
  <c r="Z524" i="61"/>
  <c r="Z88" i="61"/>
  <c r="Z363" i="61"/>
  <c r="Z975" i="61"/>
  <c r="Z71" i="61"/>
  <c r="Z364" i="61"/>
  <c r="Z958" i="61"/>
  <c r="Z464" i="61"/>
  <c r="Z623" i="61"/>
  <c r="Z168" i="61"/>
  <c r="Z703" i="61"/>
  <c r="Z404" i="61"/>
  <c r="Z518" i="61"/>
  <c r="Z544" i="61"/>
  <c r="Z526" i="61"/>
  <c r="Z500" i="61"/>
  <c r="Z19" i="61"/>
  <c r="Z777" i="61"/>
  <c r="Z883" i="61"/>
  <c r="Z462" i="61"/>
  <c r="Z985" i="61"/>
  <c r="Z519" i="61"/>
  <c r="Z304" i="61"/>
  <c r="Z482" i="61"/>
  <c r="Z225" i="61"/>
  <c r="Z805" i="61"/>
  <c r="Z120" i="61"/>
  <c r="Z654" i="61"/>
  <c r="Z331" i="61"/>
  <c r="Z594" i="61"/>
  <c r="Z897" i="61"/>
  <c r="Z261" i="61"/>
  <c r="Z382" i="61"/>
  <c r="Z973" i="61"/>
  <c r="Z527" i="61"/>
  <c r="Z102" i="61"/>
  <c r="Z402" i="61"/>
  <c r="Z235" i="61"/>
  <c r="Z869" i="61"/>
  <c r="Z215" i="61"/>
  <c r="Z508" i="61"/>
  <c r="Z802" i="61"/>
  <c r="Z89" i="61"/>
  <c r="Z45" i="61"/>
  <c r="Z521" i="61"/>
  <c r="Z539" i="61"/>
  <c r="Z350" i="61"/>
  <c r="Z68" i="61"/>
  <c r="Z361" i="61"/>
  <c r="Z867" i="61"/>
  <c r="Z281" i="61"/>
  <c r="Z237" i="61"/>
  <c r="Z620" i="61"/>
  <c r="Z682" i="61"/>
  <c r="Z112" i="61"/>
  <c r="Z870" i="61"/>
  <c r="Z632" i="61"/>
  <c r="Z541" i="61"/>
  <c r="Z255" i="61"/>
  <c r="Z317" i="61"/>
  <c r="Z222" i="61"/>
  <c r="Z725" i="61"/>
  <c r="Z543" i="61"/>
  <c r="Z85" i="61"/>
  <c r="Z588" i="61"/>
  <c r="Z5" i="61"/>
  <c r="Z722" i="61"/>
  <c r="Z169" i="61"/>
  <c r="Z967" i="61"/>
  <c r="Z165" i="61"/>
  <c r="Z931" i="61"/>
  <c r="Z265" i="61"/>
  <c r="Z764" i="61"/>
  <c r="Z816" i="61"/>
  <c r="Z884" i="61"/>
  <c r="Z824" i="61"/>
  <c r="Z800" i="61"/>
  <c r="Z900" i="61"/>
  <c r="Z912" i="61"/>
  <c r="Z992" i="61"/>
  <c r="Z796" i="61"/>
  <c r="Z792" i="61"/>
  <c r="Z964" i="61"/>
  <c r="Z924" i="61"/>
  <c r="Z976" i="61"/>
  <c r="Z948" i="61"/>
  <c r="Z788" i="61"/>
  <c r="Z832" i="61"/>
  <c r="Z876" i="61"/>
  <c r="Z848" i="61"/>
  <c r="Z936" i="61"/>
  <c r="Z812" i="61"/>
  <c r="Z748" i="61"/>
  <c r="Z856" i="61"/>
  <c r="Z932" i="61"/>
  <c r="Z944" i="61"/>
  <c r="Z756" i="61"/>
  <c r="Z728" i="61"/>
  <c r="Z952" i="61"/>
  <c r="Z828" i="61"/>
  <c r="Z928" i="61"/>
  <c r="Z896" i="61"/>
  <c r="Z940" i="61"/>
  <c r="Z868" i="61"/>
  <c r="Z904" i="61"/>
  <c r="Z956" i="61"/>
  <c r="Z840" i="61"/>
  <c r="Z804" i="61"/>
  <c r="Z836" i="61"/>
  <c r="Z776" i="61"/>
  <c r="Z960" i="61"/>
  <c r="Z820" i="61"/>
  <c r="Z852" i="61"/>
  <c r="Z872" i="61"/>
  <c r="Z916" i="61"/>
  <c r="Z752" i="61"/>
  <c r="Z732" i="61"/>
  <c r="Z988" i="61"/>
  <c r="Z892" i="61"/>
  <c r="Z780" i="61"/>
  <c r="Z880" i="61"/>
  <c r="Z980" i="61"/>
  <c r="Z920" i="61"/>
  <c r="Z744" i="61"/>
  <c r="Z736" i="61"/>
  <c r="Z864" i="61"/>
  <c r="Z908" i="61"/>
  <c r="Z972" i="61"/>
  <c r="Z772" i="61"/>
  <c r="Z808" i="61"/>
  <c r="Z968" i="61"/>
  <c r="Z760" i="61"/>
  <c r="Z784" i="61"/>
  <c r="Z768" i="61"/>
  <c r="Z984" i="61"/>
  <c r="Z860" i="61"/>
  <c r="Z844" i="61"/>
  <c r="Z740" i="61"/>
  <c r="Z888" i="61"/>
  <c r="W3" i="61"/>
  <c r="W6" i="61"/>
  <c r="W5" i="61"/>
  <c r="W4" i="61"/>
  <c r="W7" i="61"/>
  <c r="W8" i="61"/>
  <c r="W12" i="61"/>
  <c r="W10" i="61"/>
  <c r="W11" i="61"/>
  <c r="T725" i="61"/>
  <c r="T13" i="61"/>
  <c r="T501" i="61"/>
  <c r="T891" i="61"/>
  <c r="T275" i="61"/>
  <c r="T32" i="61"/>
  <c r="T482" i="61"/>
  <c r="T68" i="61"/>
  <c r="T438" i="61"/>
  <c r="T810" i="61"/>
  <c r="T179" i="61"/>
  <c r="T8" i="61"/>
  <c r="T825" i="61"/>
  <c r="T183" i="61"/>
  <c r="T909" i="61"/>
  <c r="T22" i="61"/>
  <c r="T745" i="61"/>
  <c r="T203" i="61"/>
  <c r="T318" i="61"/>
  <c r="T352" i="61"/>
  <c r="T95" i="61"/>
  <c r="T172" i="61"/>
  <c r="T193" i="61"/>
  <c r="T177" i="61"/>
  <c r="T866" i="61"/>
  <c r="T154" i="61"/>
  <c r="T899" i="61"/>
  <c r="T413" i="61"/>
  <c r="T508" i="61"/>
  <c r="T164" i="61"/>
  <c r="T568" i="61"/>
  <c r="T373" i="61"/>
  <c r="T886" i="61"/>
  <c r="T441" i="61"/>
  <c r="T672" i="61"/>
  <c r="T525" i="61"/>
  <c r="T964" i="61"/>
  <c r="T294" i="61"/>
  <c r="T632" i="61"/>
  <c r="T447" i="61"/>
  <c r="T246" i="61"/>
  <c r="T627" i="61"/>
  <c r="T216" i="61"/>
  <c r="T249" i="61"/>
  <c r="T629" i="61"/>
  <c r="T227" i="61"/>
  <c r="T853" i="61"/>
  <c r="T744" i="61"/>
  <c r="T301" i="61"/>
  <c r="T370" i="61"/>
  <c r="T978" i="61"/>
  <c r="T262" i="61"/>
  <c r="T684" i="61"/>
  <c r="T93" i="61"/>
  <c r="T927" i="61"/>
  <c r="T197" i="61"/>
  <c r="T979" i="61"/>
  <c r="T309" i="61"/>
  <c r="T562" i="61"/>
  <c r="T90" i="61"/>
  <c r="T939" i="61"/>
  <c r="T634" i="61"/>
  <c r="T875" i="61"/>
  <c r="T969" i="61"/>
  <c r="T50" i="61"/>
  <c r="T783" i="61"/>
  <c r="T743" i="61"/>
  <c r="T777" i="61"/>
  <c r="T7" i="61"/>
  <c r="T733" i="61"/>
  <c r="T903" i="61"/>
  <c r="T449" i="61"/>
  <c r="T94" i="61"/>
  <c r="T661" i="61"/>
  <c r="T906" i="61"/>
  <c r="T784" i="61"/>
  <c r="T110" i="61"/>
  <c r="T470" i="61"/>
  <c r="T204" i="61"/>
  <c r="T857" i="61"/>
  <c r="T279" i="61"/>
  <c r="T363" i="61"/>
  <c r="T270" i="61"/>
  <c r="T666" i="61"/>
  <c r="T705" i="61"/>
  <c r="T513" i="61"/>
  <c r="T137" i="61"/>
  <c r="T789" i="61"/>
  <c r="T41" i="61"/>
  <c r="T178" i="61"/>
  <c r="T703" i="61"/>
  <c r="T913" i="61"/>
  <c r="T588" i="61"/>
  <c r="T721" i="61"/>
  <c r="T712" i="61"/>
  <c r="T290" i="61"/>
  <c r="T171" i="61"/>
  <c r="T148" i="61"/>
  <c r="T142" i="61"/>
  <c r="T953" i="61"/>
  <c r="T314" i="61"/>
  <c r="T371" i="61"/>
  <c r="T686" i="61"/>
  <c r="T496" i="61"/>
  <c r="T692" i="61"/>
  <c r="T787" i="61"/>
  <c r="T256" i="61"/>
  <c r="T625" i="61"/>
  <c r="T878" i="61"/>
  <c r="T863" i="61"/>
  <c r="T261" i="61"/>
  <c r="T239" i="61"/>
  <c r="T343" i="61"/>
  <c r="T560" i="61"/>
  <c r="T867" i="61"/>
  <c r="T571" i="61"/>
  <c r="T223" i="61"/>
  <c r="T354" i="61"/>
  <c r="T410" i="61"/>
  <c r="T759" i="61"/>
  <c r="T112" i="61"/>
  <c r="T484" i="61"/>
  <c r="T224" i="61"/>
  <c r="T498" i="61"/>
  <c r="T344" i="61"/>
  <c r="T826" i="61"/>
  <c r="T320" i="61"/>
  <c r="T940" i="61"/>
  <c r="T289" i="61"/>
  <c r="T104" i="61"/>
  <c r="T199" i="61"/>
  <c r="T925" i="61"/>
  <c r="T519" i="61"/>
  <c r="T833" i="61"/>
  <c r="T644" i="61"/>
  <c r="T924" i="61"/>
  <c r="T198" i="61"/>
  <c r="T900" i="61"/>
  <c r="T337" i="61"/>
  <c r="T800" i="61"/>
  <c r="T461" i="61"/>
  <c r="T882" i="61"/>
  <c r="T124" i="61"/>
  <c r="T760" i="61"/>
  <c r="T791" i="61"/>
  <c r="T511" i="61"/>
  <c r="T851" i="61"/>
  <c r="T894" i="61"/>
  <c r="T322" i="61"/>
  <c r="T358" i="61"/>
  <c r="T585" i="61"/>
  <c r="T640" i="61"/>
  <c r="T541" i="61"/>
  <c r="T715" i="61"/>
  <c r="T208" i="61"/>
  <c r="T219" i="61"/>
  <c r="T388" i="61"/>
  <c r="T824" i="61"/>
  <c r="T623" i="61"/>
  <c r="T431" i="61"/>
  <c r="T912" i="61"/>
  <c r="T870" i="61"/>
  <c r="T538" i="61"/>
  <c r="T641" i="61"/>
  <c r="T222" i="61"/>
  <c r="T306" i="61"/>
  <c r="T243" i="61"/>
  <c r="T869" i="61"/>
  <c r="T27" i="61"/>
  <c r="T443" i="61"/>
  <c r="T165" i="61"/>
  <c r="T234" i="61"/>
  <c r="T918" i="61"/>
  <c r="T960" i="61"/>
  <c r="T78" i="61"/>
  <c r="T291" i="61"/>
  <c r="T780" i="61"/>
  <c r="T974" i="61"/>
  <c r="T854" i="61"/>
  <c r="T696" i="61"/>
  <c r="T495" i="61"/>
  <c r="T803" i="61"/>
  <c r="T694" i="61"/>
  <c r="T957" i="61"/>
  <c r="T581" i="61"/>
  <c r="T975" i="61"/>
  <c r="T425" i="61"/>
  <c r="T44" i="61"/>
  <c r="T220" i="61"/>
  <c r="T754" i="61"/>
  <c r="T345" i="61"/>
  <c r="T593" i="61"/>
  <c r="T456" i="61"/>
  <c r="T812" i="61"/>
  <c r="T117" i="61"/>
  <c r="T546" i="61"/>
  <c r="T153" i="61"/>
  <c r="T502" i="61"/>
  <c r="T10" i="61"/>
  <c r="T646" i="61"/>
  <c r="T624" i="61"/>
  <c r="T382" i="61"/>
  <c r="T297" i="61"/>
  <c r="T630" i="61"/>
  <c r="T633" i="61"/>
  <c r="T98" i="61"/>
  <c r="T717" i="61"/>
  <c r="T983" i="61"/>
  <c r="T553" i="61"/>
  <c r="T11" i="61"/>
  <c r="T648" i="61"/>
  <c r="T592" i="61"/>
  <c r="T827" i="61"/>
  <c r="T693" i="61"/>
  <c r="T342" i="61"/>
  <c r="T615" i="61"/>
  <c r="T841" i="61"/>
  <c r="T71" i="61"/>
  <c r="T797" i="61"/>
  <c r="T577" i="61"/>
  <c r="T855" i="61"/>
  <c r="T631" i="61"/>
  <c r="T474" i="61"/>
  <c r="T698" i="61"/>
  <c r="T499" i="61"/>
  <c r="T503" i="61"/>
  <c r="T758" i="61"/>
  <c r="T910" i="61"/>
  <c r="T955" i="61"/>
  <c r="T619" i="61"/>
  <c r="T125" i="61"/>
  <c r="T986" i="61"/>
  <c r="T606" i="61"/>
  <c r="T36" i="61"/>
  <c r="T752" i="61"/>
  <c r="T699" i="61"/>
  <c r="T100" i="61"/>
  <c r="T340" i="61"/>
  <c r="T305" i="61"/>
  <c r="T120" i="61"/>
  <c r="T872" i="61"/>
  <c r="T799" i="61"/>
  <c r="T80" i="61"/>
  <c r="T602" i="61"/>
  <c r="T976" i="61"/>
  <c r="T881" i="61"/>
  <c r="T163" i="61"/>
  <c r="T231" i="61"/>
  <c r="T72" i="61"/>
  <c r="T711" i="61"/>
  <c r="T665" i="61"/>
  <c r="T87" i="61"/>
  <c r="T205" i="61"/>
  <c r="T911" i="61"/>
  <c r="T966" i="61"/>
  <c r="T907" i="61"/>
  <c r="T457" i="61"/>
  <c r="T896" i="61"/>
  <c r="T408" i="61"/>
  <c r="T428" i="61"/>
  <c r="T292" i="61"/>
  <c r="T91" i="61"/>
  <c r="T131" i="61"/>
  <c r="T650" i="61"/>
  <c r="T411" i="61"/>
  <c r="T360" i="61"/>
  <c r="T968" i="61"/>
  <c r="T53" i="61"/>
  <c r="T317" i="61"/>
  <c r="T174" i="61"/>
  <c r="T582" i="61"/>
  <c r="T561" i="61"/>
  <c r="T922" i="61"/>
  <c r="T757" i="61"/>
  <c r="T985" i="61"/>
  <c r="T84" i="61"/>
  <c r="T786" i="61"/>
  <c r="T218" i="61"/>
  <c r="T676" i="61"/>
  <c r="T160" i="61"/>
  <c r="T706" i="61"/>
  <c r="T688" i="61"/>
  <c r="T856" i="61"/>
  <c r="T989" i="61"/>
  <c r="T846" i="61"/>
  <c r="T689" i="61"/>
  <c r="T916" i="61"/>
  <c r="T210" i="61"/>
  <c r="T313" i="61"/>
  <c r="T398" i="61"/>
  <c r="T835" i="61"/>
  <c r="T365" i="61"/>
  <c r="T738" i="61"/>
  <c r="T392" i="61"/>
  <c r="T612" i="61"/>
  <c r="T475" i="61"/>
  <c r="T934" i="61"/>
  <c r="T419" i="61"/>
  <c r="T387" i="61"/>
  <c r="T132" i="61"/>
  <c r="T486" i="61"/>
  <c r="T551" i="61"/>
  <c r="T189" i="61"/>
  <c r="T158" i="61"/>
  <c r="T660" i="61"/>
  <c r="T849" i="61"/>
  <c r="T332" i="61"/>
  <c r="T614" i="61"/>
  <c r="T576" i="61"/>
  <c r="T573" i="61"/>
  <c r="T130" i="61"/>
  <c r="T81" i="61"/>
  <c r="T864" i="61"/>
  <c r="T493" i="61"/>
  <c r="T895" i="61"/>
  <c r="T401" i="61"/>
  <c r="T129" i="61"/>
  <c r="T126" i="61"/>
  <c r="T510" i="61"/>
  <c r="T697" i="61"/>
  <c r="T55" i="61"/>
  <c r="T781" i="61"/>
  <c r="T779" i="61"/>
  <c r="T617" i="61"/>
  <c r="T75" i="61"/>
  <c r="T67" i="61"/>
  <c r="T63" i="61"/>
  <c r="T265" i="61"/>
  <c r="T815" i="61"/>
  <c r="T102" i="61"/>
  <c r="T20" i="61"/>
  <c r="T430" i="61"/>
  <c r="T604" i="61"/>
  <c r="T30" i="61"/>
  <c r="T469" i="61"/>
  <c r="T497" i="61"/>
  <c r="T173" i="61"/>
  <c r="T159" i="61"/>
  <c r="T139" i="61"/>
  <c r="T206" i="61"/>
  <c r="T59" i="61"/>
  <c r="T34" i="61"/>
  <c r="T362" i="61"/>
  <c r="T926" i="61"/>
  <c r="T407" i="61"/>
  <c r="T127" i="61"/>
  <c r="T506" i="61"/>
  <c r="T491" i="61"/>
  <c r="T565" i="61"/>
  <c r="T731" i="61"/>
  <c r="T368" i="61"/>
  <c r="T259" i="61"/>
  <c r="T384" i="61"/>
  <c r="T180" i="61"/>
  <c r="T367" i="61"/>
  <c r="T500" i="61"/>
  <c r="T76" i="61"/>
  <c r="T808" i="61"/>
  <c r="T471" i="61"/>
  <c r="T635" i="61"/>
  <c r="T823" i="61"/>
  <c r="T680" i="61"/>
  <c r="T549" i="61"/>
  <c r="T232" i="61"/>
  <c r="T46" i="61"/>
  <c r="T420" i="61"/>
  <c r="T679" i="61"/>
  <c r="T18" i="61"/>
  <c r="T887" i="61"/>
  <c r="T529" i="61"/>
  <c r="T39" i="61"/>
  <c r="T765" i="61"/>
  <c r="T214" i="61"/>
  <c r="T473" i="61"/>
  <c r="T480" i="61"/>
  <c r="T685" i="61"/>
  <c r="T350" i="61"/>
  <c r="T609" i="61"/>
  <c r="T221" i="61"/>
  <c r="T695" i="61"/>
  <c r="T254" i="61"/>
  <c r="T722" i="61"/>
  <c r="T133" i="61"/>
  <c r="T936" i="61"/>
  <c r="T74" i="61"/>
  <c r="T642" i="61"/>
  <c r="T938" i="61"/>
  <c r="T958" i="61"/>
  <c r="T923" i="61"/>
  <c r="T656" i="61"/>
  <c r="T967" i="61"/>
  <c r="T946" i="61"/>
  <c r="T346" i="61"/>
  <c r="T930" i="61"/>
  <c r="T240" i="61"/>
  <c r="T643" i="61"/>
  <c r="T134" i="61"/>
  <c r="T943" i="61"/>
  <c r="T334" i="61"/>
  <c r="T621" i="61"/>
  <c r="T816" i="61"/>
  <c r="T920" i="61"/>
  <c r="T563" i="61"/>
  <c r="T478" i="61"/>
  <c r="T847" i="61"/>
  <c r="T880" i="61"/>
  <c r="T639" i="61"/>
  <c r="T414" i="61"/>
  <c r="T99" i="61"/>
  <c r="T597" i="61"/>
  <c r="T406" i="61"/>
  <c r="T520" i="61"/>
  <c r="T522" i="61"/>
  <c r="T991" i="61"/>
  <c r="T465" i="61"/>
  <c r="T723" i="61"/>
  <c r="T235" i="61"/>
  <c r="T101" i="61"/>
  <c r="T842" i="61"/>
  <c r="T727" i="61"/>
  <c r="T43" i="61"/>
  <c r="T645" i="61"/>
  <c r="T954" i="61"/>
  <c r="T638" i="61"/>
  <c r="T747" i="61"/>
  <c r="T667" i="61"/>
  <c r="T766" i="61"/>
  <c r="T764" i="61"/>
  <c r="T170" i="61"/>
  <c r="T594" i="61"/>
  <c r="T376" i="61"/>
  <c r="T796" i="61"/>
  <c r="T329" i="61"/>
  <c r="T514" i="61"/>
  <c r="T476" i="61"/>
  <c r="T287" i="61"/>
  <c r="T295" i="61"/>
  <c r="T242" i="61"/>
  <c r="T583" i="61"/>
  <c r="T729" i="61"/>
  <c r="T151" i="61"/>
  <c r="T29" i="61"/>
  <c r="T56" i="61"/>
  <c r="T442" i="61"/>
  <c r="T106" i="61"/>
  <c r="T830" i="61"/>
  <c r="T19" i="61"/>
  <c r="T868" i="61"/>
  <c r="T38" i="61"/>
  <c r="T707" i="61"/>
  <c r="T397" i="61"/>
  <c r="T898" i="61"/>
  <c r="T175" i="61"/>
  <c r="T472" i="61"/>
  <c r="T436" i="61"/>
  <c r="T543" i="61"/>
  <c r="T296" i="61"/>
  <c r="T448" i="61"/>
  <c r="T637" i="61"/>
  <c r="T843" i="61"/>
  <c r="T252" i="61"/>
  <c r="T450" i="61"/>
  <c r="T884" i="61"/>
  <c r="T774" i="61"/>
  <c r="T70" i="61"/>
  <c r="T792" i="61"/>
  <c r="T607" i="61"/>
  <c r="T767" i="61"/>
  <c r="T369" i="61"/>
  <c r="T580" i="61"/>
  <c r="T149" i="61"/>
  <c r="T963" i="61"/>
  <c r="T897" i="61"/>
  <c r="T356" i="61"/>
  <c r="T616" i="61"/>
  <c r="T671" i="61"/>
  <c r="T77" i="61"/>
  <c r="T65" i="61"/>
  <c r="T385" i="61"/>
  <c r="T700" i="61"/>
  <c r="T750" i="61"/>
  <c r="T945" i="61"/>
  <c r="T613" i="61"/>
  <c r="T107" i="61"/>
  <c r="T386" i="61"/>
  <c r="T535" i="61"/>
  <c r="T140" i="61"/>
  <c r="T35" i="61"/>
  <c r="T811" i="61"/>
  <c r="T944" i="61"/>
  <c r="T528" i="61"/>
  <c r="T226" i="61"/>
  <c r="T990" i="61"/>
  <c r="T405" i="61"/>
  <c r="T831" i="61"/>
  <c r="T935" i="61"/>
  <c r="T228" i="61"/>
  <c r="T505" i="61"/>
  <c r="T544" i="61"/>
  <c r="T589" i="61"/>
  <c r="T740" i="61"/>
  <c r="T424" i="61"/>
  <c r="T14" i="61"/>
  <c r="T751" i="61"/>
  <c r="T587" i="61"/>
  <c r="T6" i="61"/>
  <c r="T802" i="61"/>
  <c r="T69" i="61"/>
  <c r="T280" i="61"/>
  <c r="T349" i="61"/>
  <c r="T836" i="61"/>
  <c r="T335" i="61"/>
  <c r="T379" i="61"/>
  <c r="T51" i="61"/>
  <c r="T805" i="61"/>
  <c r="T889" i="61"/>
  <c r="T247" i="61"/>
  <c r="T114" i="61"/>
  <c r="T933" i="61"/>
  <c r="T809" i="61"/>
  <c r="T267" i="61"/>
  <c r="T277" i="61"/>
  <c r="T272" i="61"/>
  <c r="T426" i="61"/>
  <c r="T105" i="61"/>
  <c r="T558" i="61"/>
  <c r="T364" i="61"/>
  <c r="T415" i="61"/>
  <c r="T327" i="61"/>
  <c r="T328" i="61"/>
  <c r="T33" i="61"/>
  <c r="T403" i="61"/>
  <c r="T416" i="61"/>
  <c r="T66" i="61"/>
  <c r="T299" i="61"/>
  <c r="T421" i="61"/>
  <c r="T417" i="61"/>
  <c r="T763" i="61"/>
  <c r="T822" i="61"/>
  <c r="T739" i="61"/>
  <c r="T196" i="61"/>
  <c r="T534" i="61"/>
  <c r="T308" i="61"/>
  <c r="T921" i="61"/>
  <c r="T4" i="61"/>
  <c r="T663" i="61"/>
  <c r="T526" i="61"/>
  <c r="T439" i="61"/>
  <c r="T871" i="61"/>
  <c r="T713" i="61"/>
  <c r="T351" i="61"/>
  <c r="T669" i="61"/>
  <c r="T981" i="61"/>
  <c r="T188" i="61"/>
  <c r="T9" i="61"/>
  <c r="T437" i="61"/>
  <c r="T837" i="61"/>
  <c r="T257" i="61"/>
  <c r="T282" i="61"/>
  <c r="T771" i="61"/>
  <c r="T381" i="61"/>
  <c r="T626" i="61"/>
  <c r="T176" i="61"/>
  <c r="T691" i="61"/>
  <c r="T806" i="61"/>
  <c r="T539" i="61"/>
  <c r="T190" i="61"/>
  <c r="T662" i="61"/>
  <c r="T488" i="61"/>
  <c r="T620" i="61"/>
  <c r="T209" i="61"/>
  <c r="T451" i="61"/>
  <c r="T92" i="61"/>
  <c r="T932" i="61"/>
  <c r="T303" i="61"/>
  <c r="T248" i="61"/>
  <c r="T950" i="61"/>
  <c r="T494" i="61"/>
  <c r="T890" i="61"/>
  <c r="T300" i="61"/>
  <c r="T58" i="61"/>
  <c r="T575" i="61"/>
  <c r="T432" i="61"/>
  <c r="T293" i="61"/>
  <c r="T251" i="61"/>
  <c r="T192" i="61"/>
  <c r="T128" i="61"/>
  <c r="T670" i="61"/>
  <c r="T323" i="61"/>
  <c r="T972" i="61"/>
  <c r="T271" i="61"/>
  <c r="T462" i="61"/>
  <c r="T527" i="61"/>
  <c r="T169" i="61"/>
  <c r="T162" i="61"/>
  <c r="T840" i="61"/>
  <c r="T848" i="61"/>
  <c r="T463" i="61"/>
  <c r="T40" i="61"/>
  <c r="T574" i="61"/>
  <c r="T433" i="61"/>
  <c r="T885" i="61"/>
  <c r="T339" i="61"/>
  <c r="T678" i="61"/>
  <c r="T15" i="61"/>
  <c r="T375" i="61"/>
  <c r="T929" i="61"/>
  <c r="T973" i="61"/>
  <c r="T908" i="61"/>
  <c r="T741" i="61"/>
  <c r="T182" i="61"/>
  <c r="T726" i="61"/>
  <c r="T892" i="61"/>
  <c r="T965" i="61"/>
  <c r="T649" i="61"/>
  <c r="T512" i="61"/>
  <c r="T605" i="61"/>
  <c r="T459" i="61"/>
  <c r="T453" i="61"/>
  <c r="T572" i="61"/>
  <c r="T166" i="61"/>
  <c r="T928" i="61"/>
  <c r="T378" i="61"/>
  <c r="T818" i="61"/>
  <c r="T409" i="61"/>
  <c r="T888" i="61"/>
  <c r="T390" i="61"/>
  <c r="T687" i="61"/>
  <c r="T654" i="61"/>
  <c r="T21" i="61"/>
  <c r="T790" i="61"/>
  <c r="T286" i="61"/>
  <c r="T274" i="61"/>
  <c r="T263" i="61"/>
  <c r="T157" i="61"/>
  <c r="T366" i="61"/>
  <c r="T82" i="61"/>
  <c r="T931" i="61"/>
  <c r="T596" i="61"/>
  <c r="T542" i="61"/>
  <c r="T591" i="61"/>
  <c r="T26" i="61"/>
  <c r="T748" i="61"/>
  <c r="T138" i="61"/>
  <c r="T434" i="61"/>
  <c r="T260" i="61"/>
  <c r="T732" i="61"/>
  <c r="T817" i="61"/>
  <c r="T756" i="61"/>
  <c r="T559" i="61"/>
  <c r="T253" i="61"/>
  <c r="T675" i="61"/>
  <c r="T655" i="61"/>
  <c r="T552" i="61"/>
  <c r="T485" i="61"/>
  <c r="T819" i="61"/>
  <c r="T636" i="61"/>
  <c r="T937" i="61"/>
  <c r="T185" i="61"/>
  <c r="T919" i="61"/>
  <c r="T941" i="61"/>
  <c r="T116" i="61"/>
  <c r="T860" i="61"/>
  <c r="T753" i="61"/>
  <c r="T652" i="61"/>
  <c r="T464" i="61"/>
  <c r="T668" i="61"/>
  <c r="T554" i="61"/>
  <c r="T736" i="61"/>
  <c r="T883" i="61"/>
  <c r="T57" i="61"/>
  <c r="T657" i="61"/>
  <c r="T970" i="61"/>
  <c r="T284" i="61"/>
  <c r="T545" i="61"/>
  <c r="T702" i="61"/>
  <c r="T708" i="61"/>
  <c r="T394" i="61"/>
  <c r="T45" i="61"/>
  <c r="T487" i="61"/>
  <c r="T905" i="61"/>
  <c r="T135" i="61"/>
  <c r="T861" i="61"/>
  <c r="T567" i="61"/>
  <c r="T42" i="61"/>
  <c r="T714" i="61"/>
  <c r="T569" i="61"/>
  <c r="T412" i="61"/>
  <c r="T653" i="61"/>
  <c r="T492" i="61"/>
  <c r="T489" i="61"/>
  <c r="T333" i="61"/>
  <c r="T236" i="61"/>
  <c r="T278" i="61"/>
  <c r="T230" i="61"/>
  <c r="T982" i="61"/>
  <c r="T548" i="61"/>
  <c r="T202" i="61"/>
  <c r="T610" i="61"/>
  <c r="T238" i="61"/>
  <c r="T566" i="61"/>
  <c r="T96" i="61"/>
  <c r="T730" i="61"/>
  <c r="T312" i="61"/>
  <c r="T150" i="61"/>
  <c r="T709" i="61"/>
  <c r="T683" i="61"/>
  <c r="T361" i="61"/>
  <c r="T515" i="61"/>
  <c r="T49" i="61"/>
  <c r="T690" i="61"/>
  <c r="T775" i="61"/>
  <c r="T273" i="61"/>
  <c r="T399" i="61"/>
  <c r="T85" i="61"/>
  <c r="T879" i="61"/>
  <c r="T207" i="61"/>
  <c r="T584" i="61"/>
  <c r="T201" i="61"/>
  <c r="T16" i="61"/>
  <c r="T874" i="61"/>
  <c r="T97" i="61"/>
  <c r="T468" i="61"/>
  <c r="T956" i="61"/>
  <c r="T673" i="61"/>
  <c r="T628" i="61"/>
  <c r="T517" i="61"/>
  <c r="T942" i="61"/>
  <c r="T212" i="61"/>
  <c r="T143" i="61"/>
  <c r="T338" i="61"/>
  <c r="T599" i="61"/>
  <c r="T54" i="61"/>
  <c r="T195" i="61"/>
  <c r="T454" i="61"/>
  <c r="T901" i="61"/>
  <c r="T776" i="61"/>
  <c r="T211" i="61"/>
  <c r="T540" i="61"/>
  <c r="T213" i="61"/>
  <c r="T798" i="61"/>
  <c r="T850" i="61"/>
  <c r="T304" i="61"/>
  <c r="T418" i="61"/>
  <c r="T245" i="61"/>
  <c r="T770" i="61"/>
  <c r="T734" i="61"/>
  <c r="T952" i="61"/>
  <c r="T281" i="61"/>
  <c r="T598" i="61"/>
  <c r="T380" i="61"/>
  <c r="T146" i="61"/>
  <c r="T89" i="61"/>
  <c r="T518" i="61"/>
  <c r="T145" i="61"/>
  <c r="T838" i="61"/>
  <c r="T904" i="61"/>
  <c r="T524" i="61"/>
  <c r="T659" i="61"/>
  <c r="T651" i="61"/>
  <c r="T521" i="61"/>
  <c r="T768" i="61"/>
  <c r="T477" i="61"/>
  <c r="T951" i="61"/>
  <c r="T37" i="61"/>
  <c r="T155" i="61"/>
  <c r="T62" i="61"/>
  <c r="T595" i="61"/>
  <c r="T144" i="61"/>
  <c r="T167" i="61"/>
  <c r="T893" i="61"/>
  <c r="T839" i="61"/>
  <c r="T601" i="61"/>
  <c r="T23" i="61"/>
  <c r="T813" i="61"/>
  <c r="T611" i="61"/>
  <c r="T865" i="61"/>
  <c r="T24" i="61"/>
  <c r="T122" i="61"/>
  <c r="T187" i="61"/>
  <c r="T233" i="61"/>
  <c r="T959" i="61"/>
  <c r="T307" i="61"/>
  <c r="T347" i="61"/>
  <c r="T761" i="61"/>
  <c r="T119" i="61"/>
  <c r="T845" i="61"/>
  <c r="T523" i="61"/>
  <c r="T681" i="61"/>
  <c r="T716" i="61"/>
  <c r="T782" i="61"/>
  <c r="T704" i="61"/>
  <c r="T509" i="61"/>
  <c r="T556" i="61"/>
  <c r="T393" i="61"/>
  <c r="T962" i="61"/>
  <c r="T429" i="61"/>
  <c r="T86" i="61"/>
  <c r="T250" i="61"/>
  <c r="T258" i="61"/>
  <c r="T531" i="61"/>
  <c r="T113" i="61"/>
  <c r="T466" i="61"/>
  <c r="T217" i="61"/>
  <c r="T550" i="61"/>
  <c r="T422" i="61"/>
  <c r="T355" i="61"/>
  <c r="T244" i="61"/>
  <c r="T237" i="61"/>
  <c r="T458" i="61"/>
  <c r="T229" i="61"/>
  <c r="T152" i="61"/>
  <c r="T109" i="61"/>
  <c r="T288" i="61"/>
  <c r="T674" i="61"/>
  <c r="T324" i="61"/>
  <c r="T876" i="61"/>
  <c r="T181" i="61"/>
  <c r="T814" i="61"/>
  <c r="T79" i="61"/>
  <c r="T647" i="61"/>
  <c r="T984" i="61"/>
  <c r="T971" i="61"/>
  <c r="T586" i="61"/>
  <c r="T862" i="61"/>
  <c r="T194" i="61"/>
  <c r="T728" i="61"/>
  <c r="T795" i="61"/>
  <c r="T400" i="61"/>
  <c r="T241" i="61"/>
  <c r="T444" i="61"/>
  <c r="T83" i="61"/>
  <c r="T319" i="61"/>
  <c r="T353" i="61"/>
  <c r="T794" i="61"/>
  <c r="T742" i="61"/>
  <c r="T276" i="61"/>
  <c r="T391" i="61"/>
  <c r="T111" i="61"/>
  <c r="T536" i="61"/>
  <c r="T828" i="61"/>
  <c r="T773" i="61"/>
  <c r="T859" i="61"/>
  <c r="T73" i="61"/>
  <c r="T123" i="61"/>
  <c r="T427" i="61"/>
  <c r="T136" i="61"/>
  <c r="T88" i="61"/>
  <c r="T603" i="61"/>
  <c r="T720" i="61"/>
  <c r="T961" i="61"/>
  <c r="T266" i="61"/>
  <c r="T988" i="61"/>
  <c r="T283" i="61"/>
  <c r="T483" i="61"/>
  <c r="T948" i="61"/>
  <c r="T832" i="61"/>
  <c r="T445" i="61"/>
  <c r="T804" i="61"/>
  <c r="T325" i="61"/>
  <c r="T374" i="61"/>
  <c r="T590" i="61"/>
  <c r="T268" i="61"/>
  <c r="T404" i="61"/>
  <c r="T658" i="61"/>
  <c r="T48" i="61"/>
  <c r="T532" i="61"/>
  <c r="T396" i="61"/>
  <c r="T578" i="61"/>
  <c r="T547" i="61"/>
  <c r="T321" i="61"/>
  <c r="T788" i="61"/>
  <c r="T3" i="61"/>
  <c r="T60" i="61"/>
  <c r="T103" i="61"/>
  <c r="T829" i="61"/>
  <c r="T949" i="61"/>
  <c r="T537" i="61"/>
  <c r="T269" i="61"/>
  <c r="T749" i="61"/>
  <c r="T844" i="61"/>
  <c r="T737" i="61"/>
  <c r="T479" i="61"/>
  <c r="T423" i="61"/>
  <c r="T677" i="61"/>
  <c r="T61" i="61"/>
  <c r="T311" i="61"/>
  <c r="T285" i="61"/>
  <c r="T807" i="61"/>
  <c r="T873" i="61"/>
  <c r="T331" i="61"/>
  <c r="T326" i="61"/>
  <c r="T316" i="61"/>
  <c r="T481" i="61"/>
  <c r="T452" i="61"/>
  <c r="T801" i="61"/>
  <c r="T564" i="61"/>
  <c r="T852" i="61"/>
  <c r="T348" i="61"/>
  <c r="T516" i="61"/>
  <c r="T755" i="61"/>
  <c r="T762" i="61"/>
  <c r="T778" i="61"/>
  <c r="T225" i="61"/>
  <c r="T121" i="61"/>
  <c r="T17" i="61"/>
  <c r="T315" i="61"/>
  <c r="T156" i="61"/>
  <c r="T372" i="61"/>
  <c r="T915" i="61"/>
  <c r="T64" i="61"/>
  <c r="T28" i="61"/>
  <c r="T557" i="61"/>
  <c r="T977" i="61"/>
  <c r="T622" i="61"/>
  <c r="T877" i="61"/>
  <c r="T12" i="61"/>
  <c r="T902" i="61"/>
  <c r="T618" i="61"/>
  <c r="T357" i="61"/>
  <c r="T719" i="61"/>
  <c r="T785" i="61"/>
  <c r="T184" i="61"/>
  <c r="T701" i="61"/>
  <c r="T579" i="61"/>
  <c r="T402" i="61"/>
  <c r="T608" i="61"/>
  <c r="T389" i="61"/>
  <c r="T772" i="61"/>
  <c r="T147" i="61"/>
  <c r="T914" i="61"/>
  <c r="T377" i="61"/>
  <c r="T947" i="61"/>
  <c r="T330" i="61"/>
  <c r="T834" i="61"/>
  <c r="T47" i="61"/>
  <c r="T600" i="61"/>
  <c r="T310" i="61"/>
  <c r="T820" i="61"/>
  <c r="T31" i="61"/>
  <c r="T25" i="61"/>
  <c r="T395" i="61"/>
  <c r="T455" i="61"/>
  <c r="T793" i="61"/>
  <c r="T215" i="61"/>
  <c r="T200" i="61"/>
  <c r="T255" i="61"/>
  <c r="T570" i="61"/>
  <c r="T980" i="61"/>
  <c r="T987" i="61"/>
  <c r="T341" i="61"/>
  <c r="T530" i="61"/>
  <c r="T302" i="61"/>
  <c r="T992" i="61"/>
  <c r="T118" i="61"/>
  <c r="T435" i="61"/>
  <c r="T917" i="61"/>
  <c r="T383" i="61"/>
  <c r="T168" i="61"/>
  <c r="T264" i="61"/>
  <c r="T769" i="61"/>
  <c r="T115" i="61"/>
  <c r="T298" i="61"/>
  <c r="T710" i="61"/>
  <c r="T440" i="61"/>
  <c r="T490" i="61"/>
  <c r="T336" i="61"/>
  <c r="T746" i="61"/>
  <c r="T467" i="61"/>
  <c r="T504" i="61"/>
  <c r="T186" i="61"/>
  <c r="T718" i="61"/>
  <c r="T446" i="61"/>
  <c r="T682" i="61"/>
  <c r="T821" i="61"/>
  <c r="T161" i="61"/>
  <c r="T555" i="61"/>
  <c r="T191" i="61"/>
  <c r="T141" i="61"/>
  <c r="T507" i="61"/>
  <c r="T460" i="61"/>
  <c r="T724" i="61"/>
  <c r="T52" i="61"/>
  <c r="T858" i="61"/>
  <c r="T108" i="61"/>
  <c r="T664" i="61"/>
  <c r="T735" i="61"/>
  <c r="T533" i="61"/>
  <c r="T359" i="61"/>
  <c r="W57" i="61"/>
  <c r="W633" i="61"/>
  <c r="W86" i="61"/>
  <c r="W412" i="61"/>
  <c r="W443" i="61"/>
  <c r="W886" i="61"/>
  <c r="W190" i="61"/>
  <c r="W943" i="61"/>
  <c r="W24" i="61"/>
  <c r="W528" i="61"/>
  <c r="W613" i="61"/>
  <c r="W292" i="61"/>
  <c r="W313" i="61"/>
  <c r="W550" i="61"/>
  <c r="W423" i="61"/>
  <c r="W454" i="61"/>
  <c r="W666" i="61"/>
  <c r="W603" i="61"/>
  <c r="W506" i="61"/>
  <c r="W849" i="61"/>
  <c r="W735" i="61"/>
  <c r="W889" i="61"/>
  <c r="W962" i="61"/>
  <c r="W474" i="61"/>
  <c r="W517" i="61"/>
  <c r="W290" i="61"/>
  <c r="W70" i="61"/>
  <c r="W863" i="61"/>
  <c r="W602" i="61"/>
  <c r="W42" i="61"/>
  <c r="W253" i="61"/>
  <c r="W478" i="61"/>
  <c r="W643" i="61"/>
  <c r="W78" i="61"/>
  <c r="W905" i="61"/>
  <c r="W395" i="61"/>
  <c r="W180" i="61"/>
  <c r="W334" i="61"/>
  <c r="W154" i="61"/>
  <c r="W299" i="61"/>
  <c r="W882" i="61"/>
  <c r="W805" i="61"/>
  <c r="W774" i="61"/>
  <c r="W365" i="61"/>
  <c r="W305" i="61"/>
  <c r="W192" i="61"/>
  <c r="W939" i="61"/>
  <c r="W897" i="61"/>
  <c r="W40" i="61"/>
  <c r="W336" i="61"/>
  <c r="W352" i="61"/>
  <c r="W45" i="61"/>
  <c r="W544" i="61"/>
  <c r="W567" i="61"/>
  <c r="W390" i="61"/>
  <c r="W26" i="61"/>
  <c r="W623" i="61"/>
  <c r="W785" i="61"/>
  <c r="W481" i="61"/>
  <c r="W569" i="61"/>
  <c r="W373" i="61"/>
  <c r="W432" i="61"/>
  <c r="W818" i="61"/>
  <c r="W822" i="61"/>
  <c r="W642" i="61"/>
  <c r="W823" i="61"/>
  <c r="W333" i="61"/>
  <c r="W144" i="61"/>
  <c r="W738" i="61"/>
  <c r="W206" i="61"/>
  <c r="W579" i="61"/>
  <c r="W520" i="61"/>
  <c r="W94" i="61"/>
  <c r="W230" i="61"/>
  <c r="W122" i="61"/>
  <c r="W547" i="61"/>
  <c r="W530" i="61"/>
  <c r="W883" i="61"/>
  <c r="W275" i="61"/>
  <c r="W324" i="61"/>
  <c r="W703" i="61"/>
  <c r="W457" i="61"/>
  <c r="W92" i="61"/>
  <c r="W482" i="61"/>
  <c r="W204" i="61"/>
  <c r="W476" i="61"/>
  <c r="W727" i="61"/>
  <c r="W191" i="61"/>
  <c r="W413" i="61"/>
  <c r="W507" i="61"/>
  <c r="W371" i="61"/>
  <c r="W617" i="61"/>
  <c r="W68" i="61"/>
  <c r="W941" i="61"/>
  <c r="W63" i="61"/>
  <c r="W317" i="61"/>
  <c r="W421" i="61"/>
  <c r="W288" i="61"/>
  <c r="W221" i="61"/>
  <c r="W878" i="61"/>
  <c r="W385" i="61"/>
  <c r="W934" i="61"/>
  <c r="W919" i="61"/>
  <c r="W554" i="61"/>
  <c r="W18" i="61"/>
  <c r="W770" i="61"/>
  <c r="W179" i="61"/>
  <c r="W128" i="61"/>
  <c r="W560" i="61"/>
  <c r="W229" i="61"/>
  <c r="W165" i="61"/>
  <c r="W498" i="61"/>
  <c r="W663" i="61"/>
  <c r="W422" i="61"/>
  <c r="W201" i="61"/>
  <c r="W787" i="61"/>
  <c r="W250" i="61"/>
  <c r="W843" i="61"/>
  <c r="W819" i="61"/>
  <c r="W315" i="61"/>
  <c r="W188" i="61"/>
  <c r="W505" i="61"/>
  <c r="W196" i="61"/>
  <c r="W418" i="61"/>
  <c r="W754" i="61"/>
  <c r="W81" i="61"/>
  <c r="W353" i="61"/>
  <c r="W630" i="61"/>
  <c r="W318" i="61"/>
  <c r="W741" i="61"/>
  <c r="W85" i="61"/>
  <c r="W431" i="61"/>
  <c r="W384" i="61"/>
  <c r="W586" i="61"/>
  <c r="W171" i="61"/>
  <c r="W361" i="61"/>
  <c r="W64" i="61"/>
  <c r="W295" i="61"/>
  <c r="W706" i="61"/>
  <c r="W198" i="61"/>
  <c r="W737" i="61"/>
  <c r="W308" i="61"/>
  <c r="W83" i="61"/>
  <c r="W691" i="61"/>
  <c r="W974" i="61"/>
  <c r="W931" i="61"/>
  <c r="W925" i="61"/>
  <c r="W572" i="61"/>
  <c r="W793" i="61"/>
  <c r="W645" i="61"/>
  <c r="W284" i="61"/>
  <c r="W261" i="61"/>
  <c r="W707" i="61"/>
  <c r="W963" i="61"/>
  <c r="W389" i="61"/>
  <c r="W486" i="61"/>
  <c r="W782" i="61"/>
  <c r="W282" i="61"/>
  <c r="W34" i="61"/>
  <c r="W269" i="61"/>
  <c r="W578" i="61"/>
  <c r="W683" i="61"/>
  <c r="W492" i="61"/>
  <c r="W354" i="61"/>
  <c r="W121" i="61"/>
  <c r="W127" i="61"/>
  <c r="W203" i="61"/>
  <c r="W465" i="61"/>
  <c r="W286" i="61"/>
  <c r="W655" i="61"/>
  <c r="W661" i="61"/>
  <c r="W581" i="61"/>
  <c r="W604" i="61"/>
  <c r="W289" i="61"/>
  <c r="W870" i="61"/>
  <c r="W714" i="61"/>
  <c r="W214" i="61"/>
  <c r="W53" i="61"/>
  <c r="W102" i="61"/>
  <c r="W458" i="61"/>
  <c r="W910" i="61"/>
  <c r="W429" i="61"/>
  <c r="W88" i="61"/>
  <c r="W29" i="61"/>
  <c r="W441" i="61"/>
  <c r="W124" i="61"/>
  <c r="W540" i="61"/>
  <c r="W119" i="61"/>
  <c r="W186" i="61"/>
  <c r="W183" i="61"/>
  <c r="W109" i="61"/>
  <c r="W779" i="61"/>
  <c r="W649" i="61"/>
  <c r="W766" i="61"/>
  <c r="W841" i="61"/>
  <c r="W182" i="61"/>
  <c r="W771" i="61"/>
  <c r="W533" i="61"/>
  <c r="W173" i="61"/>
  <c r="W966" i="61"/>
  <c r="W751" i="61"/>
  <c r="W33" i="61"/>
  <c r="W669" i="61"/>
  <c r="W444" i="61"/>
  <c r="W14" i="61"/>
  <c r="W635" i="61"/>
  <c r="W301" i="61"/>
  <c r="W466" i="61"/>
  <c r="W806" i="61"/>
  <c r="W658" i="61"/>
  <c r="W618" i="61"/>
  <c r="W965" i="61"/>
  <c r="W260" i="61"/>
  <c r="W310" i="61"/>
  <c r="W961" i="61"/>
  <c r="W651" i="61"/>
  <c r="W147" i="61"/>
  <c r="W99" i="61"/>
  <c r="W765" i="61"/>
  <c r="W592" i="61"/>
  <c r="W685" i="61"/>
  <c r="W901" i="61"/>
  <c r="W383" i="61"/>
  <c r="W298" i="61"/>
  <c r="W794" i="61"/>
  <c r="W449" i="61"/>
  <c r="W142" i="61"/>
  <c r="W37" i="61"/>
  <c r="W969" i="61"/>
  <c r="W667" i="61"/>
  <c r="W175" i="61"/>
  <c r="W514" i="61"/>
  <c r="W341" i="61"/>
  <c r="W60" i="61"/>
  <c r="W619" i="61"/>
  <c r="W767" i="61"/>
  <c r="W865" i="61"/>
  <c r="W673" i="61"/>
  <c r="W990" i="61"/>
  <c r="W30" i="61"/>
  <c r="W185" i="61"/>
  <c r="W330" i="61"/>
  <c r="W195" i="61"/>
  <c r="W225" i="61"/>
  <c r="W143" i="61"/>
  <c r="W857" i="61"/>
  <c r="W403" i="61"/>
  <c r="W287" i="61"/>
  <c r="W212" i="61"/>
  <c r="W914" i="61"/>
  <c r="W989" i="61"/>
  <c r="W283" i="61"/>
  <c r="W168" i="61"/>
  <c r="W47" i="61"/>
  <c r="W226" i="61"/>
  <c r="W397" i="61"/>
  <c r="W151" i="61"/>
  <c r="W959" i="61"/>
  <c r="W763" i="61"/>
  <c r="W599" i="61"/>
  <c r="W698" i="61"/>
  <c r="W933" i="61"/>
  <c r="W234" i="61"/>
  <c r="W590" i="61"/>
  <c r="W417" i="61"/>
  <c r="W639" i="61"/>
  <c r="W328" i="61"/>
  <c r="W687" i="61"/>
  <c r="W280" i="61"/>
  <c r="W641" i="61"/>
  <c r="W248" i="61"/>
  <c r="W366" i="61"/>
  <c r="W22" i="61"/>
  <c r="W382" i="61"/>
  <c r="W977" i="61"/>
  <c r="W101" i="61"/>
  <c r="W39" i="61"/>
  <c r="W629" i="61"/>
  <c r="W263" i="61"/>
  <c r="W364" i="61"/>
  <c r="W320" i="61"/>
  <c r="W467" i="61"/>
  <c r="W446" i="61"/>
  <c r="W831" i="61"/>
  <c r="W205" i="61"/>
  <c r="W786" i="61"/>
  <c r="W447" i="61"/>
  <c r="W596" i="61"/>
  <c r="W181" i="61"/>
  <c r="W935" i="61"/>
  <c r="W75" i="61"/>
  <c r="W982" i="61"/>
  <c r="W268" i="61"/>
  <c r="W461" i="61"/>
  <c r="W375" i="61"/>
  <c r="W890" i="61"/>
  <c r="W814" i="61"/>
  <c r="W512" i="61"/>
  <c r="W141" i="61"/>
  <c r="W659" i="61"/>
  <c r="W558" i="61"/>
  <c r="W807" i="61"/>
  <c r="W758" i="61"/>
  <c r="W224" i="61"/>
  <c r="W917" i="61"/>
  <c r="W117" i="61"/>
  <c r="W710" i="61"/>
  <c r="W637" i="61"/>
  <c r="W907" i="61"/>
  <c r="W798" i="61"/>
  <c r="W609" i="61"/>
  <c r="W211" i="61"/>
  <c r="W58" i="61"/>
  <c r="W589" i="61"/>
  <c r="W951" i="61"/>
  <c r="W583" i="61"/>
  <c r="W62" i="61"/>
  <c r="W479" i="61"/>
  <c r="W491" i="61"/>
  <c r="W129" i="61"/>
  <c r="W947" i="61"/>
  <c r="W511" i="61"/>
  <c r="W161" i="61"/>
  <c r="W38" i="61"/>
  <c r="W349" i="61"/>
  <c r="W439" i="61"/>
  <c r="W348" i="61"/>
  <c r="W695" i="61"/>
  <c r="W825" i="61"/>
  <c r="W276" i="61"/>
  <c r="W979" i="61"/>
  <c r="W174" i="61"/>
  <c r="W267" i="61"/>
  <c r="W131" i="61"/>
  <c r="W210" i="61"/>
  <c r="W509" i="61"/>
  <c r="W242" i="61"/>
  <c r="W266" i="61"/>
  <c r="W891" i="61"/>
  <c r="W537" i="61"/>
  <c r="W297" i="61"/>
  <c r="W442" i="61"/>
  <c r="W247" i="61"/>
  <c r="W556" i="61"/>
  <c r="W240" i="61"/>
  <c r="W580" i="61"/>
  <c r="W374" i="61"/>
  <c r="W674" i="61"/>
  <c r="W591" i="61"/>
  <c r="W316" i="61"/>
  <c r="W23" i="61"/>
  <c r="W391" i="61"/>
  <c r="W50" i="61"/>
  <c r="W332" i="61"/>
  <c r="W711" i="61"/>
  <c r="W665" i="61"/>
  <c r="W681" i="61"/>
  <c r="W95" i="61"/>
  <c r="W321" i="61"/>
  <c r="W113" i="61"/>
  <c r="W621" i="61"/>
  <c r="W100" i="61"/>
  <c r="W489" i="61"/>
  <c r="W597" i="61"/>
  <c r="W769" i="61"/>
  <c r="W625" i="61"/>
  <c r="W734" i="61"/>
  <c r="W484" i="61"/>
  <c r="W594" i="61"/>
  <c r="W435" i="61"/>
  <c r="W573" i="61"/>
  <c r="W739" i="61"/>
  <c r="W522" i="61"/>
  <c r="W207" i="61"/>
  <c r="W903" i="61"/>
  <c r="W866" i="61"/>
  <c r="W548" i="61"/>
  <c r="W172" i="61"/>
  <c r="W434" i="61"/>
  <c r="W314" i="61"/>
  <c r="W662" i="61"/>
  <c r="W564" i="61"/>
  <c r="W187" i="61"/>
  <c r="W697" i="61"/>
  <c r="W425" i="61"/>
  <c r="W97" i="61"/>
  <c r="W220" i="61"/>
  <c r="W571" i="61"/>
  <c r="W480" i="61"/>
  <c r="W202" i="61"/>
  <c r="W264" i="61"/>
  <c r="W91" i="61"/>
  <c r="W278" i="61"/>
  <c r="W721" i="61"/>
  <c r="W906" i="61"/>
  <c r="W31" i="61"/>
  <c r="W51" i="61"/>
  <c r="W138" i="61"/>
  <c r="W246" i="61"/>
  <c r="W497" i="61"/>
  <c r="W148" i="61"/>
  <c r="W139" i="61"/>
  <c r="W416" i="61"/>
  <c r="W222" i="61"/>
  <c r="W146" i="61"/>
  <c r="W436" i="61"/>
  <c r="W469" i="61"/>
  <c r="W80" i="61"/>
  <c r="W802" i="61"/>
  <c r="W778" i="61"/>
  <c r="W401" i="61"/>
  <c r="W543" i="61"/>
  <c r="W839" i="61"/>
  <c r="W678" i="61"/>
  <c r="W970" i="61"/>
  <c r="W351" i="61"/>
  <c r="W238" i="61"/>
  <c r="W294" i="61"/>
  <c r="W810" i="61"/>
  <c r="W215" i="61"/>
  <c r="W577" i="61"/>
  <c r="W921" i="61"/>
  <c r="W894" i="61"/>
  <c r="W563" i="61"/>
  <c r="W259" i="61"/>
  <c r="W709" i="61"/>
  <c r="W973" i="61"/>
  <c r="W343" i="61"/>
  <c r="W986" i="61"/>
  <c r="W340" i="61"/>
  <c r="W838" i="61"/>
  <c r="W93" i="61"/>
  <c r="W898" i="61"/>
  <c r="W559" i="61"/>
  <c r="W922" i="61"/>
  <c r="W885" i="61"/>
  <c r="W845" i="61"/>
  <c r="W546" i="61"/>
  <c r="W265" i="61"/>
  <c r="W411" i="61"/>
  <c r="W272" i="61"/>
  <c r="W679" i="61"/>
  <c r="W694" i="61"/>
  <c r="W239" i="61"/>
  <c r="W470" i="61"/>
  <c r="W595" i="61"/>
  <c r="W342" i="61"/>
  <c r="W419" i="61"/>
  <c r="W610" i="61"/>
  <c r="W499" i="61"/>
  <c r="W555" i="61"/>
  <c r="W743" i="61"/>
  <c r="W927" i="61"/>
  <c r="W107" i="61"/>
  <c r="W59" i="61"/>
  <c r="W686" i="61"/>
  <c r="W387" i="61"/>
  <c r="W49" i="61"/>
  <c r="W13" i="61"/>
  <c r="W120" i="61"/>
  <c r="W363" i="61"/>
  <c r="W319" i="61"/>
  <c r="W244" i="61"/>
  <c r="W726" i="61"/>
  <c r="W809" i="61"/>
  <c r="W753" i="61"/>
  <c r="W729" i="61"/>
  <c r="W689" i="61"/>
  <c r="W542" i="61"/>
  <c r="W329" i="61"/>
  <c r="W254" i="61"/>
  <c r="W983" i="61"/>
  <c r="W795" i="61"/>
  <c r="W937" i="61"/>
  <c r="W213" i="61"/>
  <c r="W137" i="61"/>
  <c r="W971" i="61"/>
  <c r="W396" i="61"/>
  <c r="W103" i="61"/>
  <c r="W251" i="61"/>
  <c r="W406" i="61"/>
  <c r="W367" i="61"/>
  <c r="W44" i="61"/>
  <c r="W164" i="61"/>
  <c r="W178" i="61"/>
  <c r="W110" i="61"/>
  <c r="W985" i="61"/>
  <c r="W270" i="61"/>
  <c r="W515" i="61"/>
  <c r="W325" i="61"/>
  <c r="W981" i="61"/>
  <c r="W654" i="61"/>
  <c r="W311" i="61"/>
  <c r="W369" i="61"/>
  <c r="W379" i="61"/>
  <c r="W125" i="61"/>
  <c r="W468" i="61"/>
  <c r="W258" i="61"/>
  <c r="W605" i="61"/>
  <c r="W65" i="61"/>
  <c r="W930" i="61"/>
  <c r="W346" i="61"/>
  <c r="W500" i="61"/>
  <c r="W723" i="61"/>
  <c r="W398" i="61"/>
  <c r="W415" i="61"/>
  <c r="W519" i="61"/>
  <c r="W322" i="61"/>
  <c r="W576" i="61"/>
  <c r="W524" i="61"/>
  <c r="W975" i="61"/>
  <c r="W312" i="61"/>
  <c r="W405" i="61"/>
  <c r="W909" i="61"/>
  <c r="W159" i="61"/>
  <c r="W285" i="61"/>
  <c r="W145" i="61"/>
  <c r="W851" i="61"/>
  <c r="W140" i="61"/>
  <c r="W331" i="61"/>
  <c r="W854" i="61"/>
  <c r="W525" i="61"/>
  <c r="W194" i="61"/>
  <c r="W197" i="61"/>
  <c r="W166" i="61"/>
  <c r="W356" i="61"/>
  <c r="W496" i="61"/>
  <c r="W777" i="61"/>
  <c r="W615" i="61"/>
  <c r="W682" i="61"/>
  <c r="W300" i="61"/>
  <c r="W279" i="61"/>
  <c r="W433" i="61"/>
  <c r="W551" i="61"/>
  <c r="W462" i="61"/>
  <c r="W755" i="61"/>
  <c r="W750" i="61"/>
  <c r="W21" i="61"/>
  <c r="W775" i="61"/>
  <c r="W52" i="61"/>
  <c r="W69" i="61"/>
  <c r="W593" i="61"/>
  <c r="W61" i="61"/>
  <c r="W463" i="61"/>
  <c r="W17" i="61"/>
  <c r="W627" i="61"/>
  <c r="W437" i="61"/>
  <c r="W409" i="61"/>
  <c r="W347" i="61"/>
  <c r="W450" i="61"/>
  <c r="W410" i="61"/>
  <c r="W426" i="61"/>
  <c r="W475" i="61"/>
  <c r="W614" i="61"/>
  <c r="W879" i="61"/>
  <c r="W402" i="61"/>
  <c r="W54" i="61"/>
  <c r="W978" i="61"/>
  <c r="W152" i="61"/>
  <c r="W43" i="61"/>
  <c r="W338" i="61"/>
  <c r="W634" i="61"/>
  <c r="W607" i="61"/>
  <c r="W162" i="61"/>
  <c r="W362" i="61"/>
  <c r="W420" i="61"/>
  <c r="W626" i="61"/>
  <c r="W510" i="61"/>
  <c r="W790" i="61"/>
  <c r="W601" i="61"/>
  <c r="W381" i="61"/>
  <c r="W293" i="61"/>
  <c r="W438" i="61"/>
  <c r="W549" i="61"/>
  <c r="W155" i="61"/>
  <c r="W19" i="61"/>
  <c r="W501" i="61"/>
  <c r="W114" i="61"/>
  <c r="W16" i="61"/>
  <c r="W27" i="61"/>
  <c r="W713" i="61"/>
  <c r="W134" i="61"/>
  <c r="W372" i="61"/>
  <c r="W84" i="61"/>
  <c r="W757" i="61"/>
  <c r="W235" i="61"/>
  <c r="W459" i="61"/>
  <c r="W532" i="61"/>
  <c r="W485" i="61"/>
  <c r="W337" i="61"/>
  <c r="W945" i="61"/>
  <c r="W169" i="61"/>
  <c r="W503" i="61"/>
  <c r="W521" i="61"/>
  <c r="W953" i="61"/>
  <c r="W163" i="61"/>
  <c r="W871" i="61"/>
  <c r="W176" i="61"/>
  <c r="W830" i="61"/>
  <c r="W493" i="61"/>
  <c r="W531" i="61"/>
  <c r="W875" i="61"/>
  <c r="W895" i="61"/>
  <c r="W72" i="61"/>
  <c r="W96" i="61"/>
  <c r="W850" i="61"/>
  <c r="W789" i="61"/>
  <c r="W527" i="61"/>
  <c r="W199" i="61"/>
  <c r="W490" i="61"/>
  <c r="W28" i="61"/>
  <c r="W702" i="61"/>
  <c r="W277" i="61"/>
  <c r="W200" i="61"/>
  <c r="W388" i="61"/>
  <c r="W56" i="61"/>
  <c r="W811" i="61"/>
  <c r="W232" i="61"/>
  <c r="W262" i="61"/>
  <c r="W370" i="61"/>
  <c r="W231" i="61"/>
  <c r="W136" i="61"/>
  <c r="W827" i="61"/>
  <c r="W588" i="61"/>
  <c r="W77" i="61"/>
  <c r="W817" i="61"/>
  <c r="W801" i="61"/>
  <c r="W241" i="61"/>
  <c r="W538" i="61"/>
  <c r="W256" i="61"/>
  <c r="W32" i="61"/>
  <c r="W725" i="61"/>
  <c r="W327" i="61"/>
  <c r="W502" i="61"/>
  <c r="W582" i="61"/>
  <c r="W116" i="61"/>
  <c r="W115" i="61"/>
  <c r="W90" i="61"/>
  <c r="W747" i="61"/>
  <c r="W55" i="61"/>
  <c r="W749" i="61"/>
  <c r="W518" i="61"/>
  <c r="W877" i="61"/>
  <c r="W309" i="61"/>
  <c r="W455" i="61"/>
  <c r="W252" i="61"/>
  <c r="W746" i="61"/>
  <c r="W249" i="61"/>
  <c r="W350" i="61"/>
  <c r="W177" i="61"/>
  <c r="W833" i="61"/>
  <c r="W108" i="61"/>
  <c r="W719" i="61"/>
  <c r="W74" i="61"/>
  <c r="W929" i="61"/>
  <c r="W847" i="61"/>
  <c r="W193" i="61"/>
  <c r="W715" i="61"/>
  <c r="W647" i="61"/>
  <c r="W893" i="61"/>
  <c r="W539" i="61"/>
  <c r="W813" i="61"/>
  <c r="W149" i="61"/>
  <c r="W170" i="61"/>
  <c r="W730" i="61"/>
  <c r="W513" i="61"/>
  <c r="W160" i="61"/>
  <c r="W853" i="61"/>
  <c r="W71" i="61"/>
  <c r="W862" i="61"/>
  <c r="W837" i="61"/>
  <c r="W130" i="61"/>
  <c r="W541" i="61"/>
  <c r="W404" i="61"/>
  <c r="W722" i="61"/>
  <c r="W473" i="61"/>
  <c r="W874" i="61"/>
  <c r="W358" i="61"/>
  <c r="W834" i="61"/>
  <c r="W35" i="61"/>
  <c r="W653" i="61"/>
  <c r="W79" i="61"/>
  <c r="W106" i="61"/>
  <c r="W255" i="61"/>
  <c r="W677" i="61"/>
  <c r="W803" i="61"/>
  <c r="W76" i="61"/>
  <c r="W158" i="61"/>
  <c r="W781" i="61"/>
  <c r="W846" i="61"/>
  <c r="W938" i="61"/>
  <c r="W257" i="61"/>
  <c r="W646" i="61"/>
  <c r="W227" i="61"/>
  <c r="W570" i="61"/>
  <c r="W274" i="61"/>
  <c r="W228" i="61"/>
  <c r="W717" i="61"/>
  <c r="W855" i="61"/>
  <c r="W575" i="61"/>
  <c r="W306" i="61"/>
  <c r="W335" i="61"/>
  <c r="W445" i="61"/>
  <c r="W394" i="61"/>
  <c r="W216" i="61"/>
  <c r="W534" i="61"/>
  <c r="W112" i="61"/>
  <c r="W899" i="61"/>
  <c r="W835" i="61"/>
  <c r="W453" i="61"/>
  <c r="W452" i="61"/>
  <c r="W869" i="61"/>
  <c r="W36" i="61"/>
  <c r="W233" i="61"/>
  <c r="W911" i="61"/>
  <c r="W323" i="61"/>
  <c r="W487" i="61"/>
  <c r="W915" i="61"/>
  <c r="W991" i="61"/>
  <c r="W104" i="61"/>
  <c r="W815" i="61"/>
  <c r="W797" i="61"/>
  <c r="W733" i="61"/>
  <c r="W523" i="61"/>
  <c r="W368" i="61"/>
  <c r="W393" i="61"/>
  <c r="W20" i="61"/>
  <c r="W861" i="61"/>
  <c r="W273" i="61"/>
  <c r="W303" i="61"/>
  <c r="W123" i="61"/>
  <c r="W243" i="61"/>
  <c r="W566" i="61"/>
  <c r="W670" i="61"/>
  <c r="W345" i="61"/>
  <c r="W773" i="61"/>
  <c r="W799" i="61"/>
  <c r="W359" i="61"/>
  <c r="W923" i="61"/>
  <c r="W430" i="61"/>
  <c r="W414" i="61"/>
  <c r="W399" i="61"/>
  <c r="W105" i="61"/>
  <c r="W699" i="61"/>
  <c r="W167" i="61"/>
  <c r="W307" i="61"/>
  <c r="W557" i="61"/>
  <c r="W902" i="61"/>
  <c r="W526" i="61"/>
  <c r="W471" i="61"/>
  <c r="W237" i="61"/>
  <c r="W671" i="61"/>
  <c r="W451" i="61"/>
  <c r="W887" i="61"/>
  <c r="W516" i="61"/>
  <c r="W612" i="61"/>
  <c r="W41" i="61"/>
  <c r="W631" i="61"/>
  <c r="W223" i="61"/>
  <c r="W622" i="61"/>
  <c r="W762" i="61"/>
  <c r="W913" i="61"/>
  <c r="W954" i="61"/>
  <c r="W842" i="61"/>
  <c r="W296" i="61"/>
  <c r="W761" i="61"/>
  <c r="W66" i="61"/>
  <c r="W111" i="61"/>
  <c r="W942" i="61"/>
  <c r="W380" i="61"/>
  <c r="W650" i="61"/>
  <c r="W529" i="61"/>
  <c r="W126" i="61"/>
  <c r="W157" i="61"/>
  <c r="W87" i="61"/>
  <c r="W464" i="61"/>
  <c r="W574" i="61"/>
  <c r="W208" i="61"/>
  <c r="W675" i="61"/>
  <c r="W858" i="61"/>
  <c r="W950" i="61"/>
  <c r="W82" i="61"/>
  <c r="W150" i="61"/>
  <c r="W859" i="61"/>
  <c r="W955" i="61"/>
  <c r="W545" i="61"/>
  <c r="W918" i="61"/>
  <c r="W828" i="61"/>
  <c r="W638" i="61"/>
  <c r="W135" i="61"/>
  <c r="W392" i="61"/>
  <c r="W957" i="61"/>
  <c r="W776" i="61"/>
  <c r="W676" i="61"/>
  <c r="W483" i="61"/>
  <c r="W980" i="61"/>
  <c r="W860" i="61"/>
  <c r="W378" i="61"/>
  <c r="W759" i="61"/>
  <c r="W360" i="61"/>
  <c r="W716" i="61"/>
  <c r="W219" i="61"/>
  <c r="W900" i="61"/>
  <c r="W896" i="61"/>
  <c r="W967" i="61"/>
  <c r="W504" i="61"/>
  <c r="W804" i="61"/>
  <c r="W832" i="61"/>
  <c r="W377" i="61"/>
  <c r="W705" i="61"/>
  <c r="W768" i="61"/>
  <c r="W701" i="61"/>
  <c r="W960" i="61"/>
  <c r="W640" i="61"/>
  <c r="W764" i="61"/>
  <c r="W495" i="61"/>
  <c r="W748" i="61"/>
  <c r="W568" i="61"/>
  <c r="W987" i="61"/>
  <c r="W587" i="61"/>
  <c r="W304" i="61"/>
  <c r="W608" i="61"/>
  <c r="W724" i="61"/>
  <c r="W964" i="61"/>
  <c r="W791" i="61"/>
  <c r="W892" i="61"/>
  <c r="W552" i="61"/>
  <c r="W720" i="61"/>
  <c r="W565" i="61"/>
  <c r="W585" i="61"/>
  <c r="W440" i="61"/>
  <c r="W968" i="61"/>
  <c r="W98" i="61"/>
  <c r="W904" i="61"/>
  <c r="W864" i="61"/>
  <c r="W48" i="61"/>
  <c r="W89" i="61"/>
  <c r="W472" i="61"/>
  <c r="W535" i="61"/>
  <c r="W656" i="61"/>
  <c r="W820" i="61"/>
  <c r="W209" i="61"/>
  <c r="W881" i="61"/>
  <c r="W812" i="61"/>
  <c r="W664" i="61"/>
  <c r="W156" i="61"/>
  <c r="W344" i="61"/>
  <c r="W326" i="61"/>
  <c r="W742" i="61"/>
  <c r="W245" i="61"/>
  <c r="W880" i="61"/>
  <c r="W407" i="61"/>
  <c r="W132" i="61"/>
  <c r="W696" i="61"/>
  <c r="W680" i="61"/>
  <c r="W477" i="61"/>
  <c r="W636" i="61"/>
  <c r="W732" i="61"/>
  <c r="W873" i="61"/>
  <c r="W448" i="61"/>
  <c r="W644" i="61"/>
  <c r="W952" i="61"/>
  <c r="W553" i="61"/>
  <c r="W271" i="61"/>
  <c r="W357" i="61"/>
  <c r="W704" i="61"/>
  <c r="W836" i="61"/>
  <c r="W672" i="61"/>
  <c r="W867" i="61"/>
  <c r="W924" i="61"/>
  <c r="W948" i="61"/>
  <c r="W926" i="61"/>
  <c r="W928" i="61"/>
  <c r="W428" i="61"/>
  <c r="W628" i="61"/>
  <c r="W936" i="61"/>
  <c r="W611" i="61"/>
  <c r="W660" i="61"/>
  <c r="W561" i="61"/>
  <c r="W427" i="61"/>
  <c r="W712" i="61"/>
  <c r="W932" i="61"/>
  <c r="W562" i="61"/>
  <c r="W386" i="61"/>
  <c r="W355" i="61"/>
  <c r="W339" i="61"/>
  <c r="W876" i="61"/>
  <c r="W745" i="61"/>
  <c r="W852" i="61"/>
  <c r="W648" i="61"/>
  <c r="W740" i="61"/>
  <c r="W67" i="61"/>
  <c r="W824" i="61"/>
  <c r="W118" i="61"/>
  <c r="W752" i="61"/>
  <c r="W944" i="61"/>
  <c r="W693" i="61"/>
  <c r="W920" i="61"/>
  <c r="W688" i="61"/>
  <c r="W508" i="61"/>
  <c r="W780" i="61"/>
  <c r="W291" i="61"/>
  <c r="W488" i="61"/>
  <c r="W856" i="61"/>
  <c r="W153" i="61"/>
  <c r="W133" i="61"/>
  <c r="W958" i="61"/>
  <c r="W620" i="61"/>
  <c r="W821" i="61"/>
  <c r="W988" i="61"/>
  <c r="W744" i="61"/>
  <c r="W632" i="61"/>
  <c r="W460" i="61"/>
  <c r="W668" i="61"/>
  <c r="W616" i="61"/>
  <c r="W792" i="61"/>
  <c r="W302" i="61"/>
  <c r="W916" i="61"/>
  <c r="W718" i="61"/>
  <c r="W884" i="61"/>
  <c r="W840" i="61"/>
  <c r="W15" i="61"/>
  <c r="W800" i="61"/>
  <c r="W940" i="61"/>
  <c r="W908" i="61"/>
  <c r="W692" i="61"/>
  <c r="W788" i="61"/>
  <c r="W652" i="61"/>
  <c r="W844" i="61"/>
  <c r="W946" i="61"/>
  <c r="W784" i="61"/>
  <c r="W760" i="61"/>
  <c r="W236" i="61"/>
  <c r="W684" i="61"/>
  <c r="W972" i="61"/>
  <c r="W796" i="61"/>
  <c r="W46" i="61"/>
  <c r="W829" i="61"/>
  <c r="W700" i="61"/>
  <c r="W731" i="61"/>
  <c r="W956" i="61"/>
  <c r="W424" i="61"/>
  <c r="W456" i="61"/>
  <c r="W624" i="61"/>
  <c r="W606" i="61"/>
  <c r="W826" i="61"/>
  <c r="W984" i="61"/>
  <c r="W690" i="61"/>
  <c r="W808" i="61"/>
  <c r="W217" i="61"/>
  <c r="W756" i="61"/>
  <c r="W598" i="61"/>
  <c r="W868" i="61"/>
  <c r="W708" i="61"/>
  <c r="W184" i="61"/>
  <c r="W189" i="61"/>
  <c r="W25" i="61"/>
  <c r="W400" i="61"/>
  <c r="W600" i="61"/>
  <c r="W872" i="61"/>
  <c r="W408" i="61"/>
  <c r="W728" i="61"/>
  <c r="W888" i="61"/>
  <c r="W772" i="61"/>
  <c r="W281" i="61"/>
  <c r="W218" i="61"/>
  <c r="W494" i="61"/>
  <c r="W657" i="61"/>
  <c r="W536" i="61"/>
  <c r="W976" i="61"/>
  <c r="W584" i="61"/>
  <c r="W783" i="61"/>
  <c r="W816" i="61"/>
  <c r="W949" i="61"/>
  <c r="W73" i="61"/>
  <c r="W848" i="61"/>
  <c r="W992" i="61"/>
  <c r="W736" i="61"/>
  <c r="W376" i="61"/>
  <c r="W912" i="61"/>
  <c r="Q73" i="61"/>
  <c r="Q452" i="61"/>
  <c r="Q465" i="61"/>
  <c r="Q850" i="61"/>
  <c r="Q739" i="61"/>
  <c r="Q70" i="61"/>
  <c r="Q152" i="61"/>
  <c r="Q686" i="61"/>
  <c r="Q879" i="61"/>
  <c r="Q738" i="61"/>
  <c r="Q814" i="61"/>
  <c r="Q767" i="61"/>
  <c r="Q902" i="61"/>
  <c r="Q229" i="61"/>
  <c r="Q728" i="61"/>
  <c r="Q961" i="61"/>
  <c r="Q186" i="61"/>
  <c r="Q802" i="61"/>
  <c r="Q857" i="61"/>
  <c r="Q779" i="61"/>
  <c r="Q825" i="61"/>
  <c r="Q95" i="61"/>
  <c r="Q829" i="61"/>
  <c r="Q160" i="61"/>
  <c r="Q781" i="61"/>
  <c r="Q58" i="61"/>
  <c r="Q642" i="61"/>
  <c r="Q746" i="61"/>
  <c r="Q946" i="61"/>
  <c r="Q851" i="61"/>
  <c r="Q989" i="61"/>
  <c r="Q270" i="61"/>
  <c r="Q380" i="61"/>
  <c r="Q959" i="61"/>
  <c r="Q978" i="61"/>
  <c r="Q462" i="61"/>
  <c r="Q884" i="61"/>
  <c r="Q304" i="61"/>
  <c r="Q740" i="61"/>
  <c r="Q710" i="61"/>
  <c r="Q482" i="61"/>
  <c r="Q361" i="61"/>
  <c r="Q839" i="61"/>
  <c r="Q327" i="61"/>
  <c r="Q135" i="61"/>
  <c r="Q586" i="61"/>
  <c r="Q639" i="61"/>
  <c r="Q962" i="61"/>
  <c r="Q352" i="61"/>
  <c r="Q65" i="61"/>
  <c r="Q38" i="61"/>
  <c r="Q671" i="61"/>
  <c r="Q501" i="61"/>
  <c r="Q564" i="61"/>
  <c r="Q107" i="61"/>
  <c r="Q812" i="61"/>
  <c r="Q634" i="61"/>
  <c r="Q98" i="61"/>
  <c r="Q503" i="61"/>
  <c r="Q943" i="61"/>
  <c r="Q711" i="61"/>
  <c r="Q200" i="61"/>
  <c r="Q348" i="61"/>
  <c r="Q589" i="61"/>
  <c r="Q423" i="61"/>
  <c r="Q924" i="61"/>
  <c r="Q138" i="61"/>
  <c r="Q730" i="61"/>
  <c r="Q570" i="61"/>
  <c r="Q911" i="61"/>
  <c r="Q211" i="61"/>
  <c r="Q55" i="61"/>
  <c r="Q608" i="61"/>
  <c r="Q101" i="61"/>
  <c r="Q838" i="61"/>
  <c r="Q397" i="61"/>
  <c r="Q340" i="61"/>
  <c r="Q419" i="61"/>
  <c r="Q384" i="61"/>
  <c r="Q314" i="61"/>
  <c r="Q975" i="61"/>
  <c r="Q142" i="61"/>
  <c r="Q630" i="61"/>
  <c r="Q747" i="61"/>
  <c r="Q226" i="61"/>
  <c r="Q984" i="61"/>
  <c r="Q454" i="61"/>
  <c r="Q118" i="61"/>
  <c r="Q617" i="61"/>
  <c r="Q50" i="61"/>
  <c r="Q480" i="61"/>
  <c r="Q821" i="61"/>
  <c r="Q909" i="61"/>
  <c r="Q935" i="61"/>
  <c r="Q150" i="61"/>
  <c r="Q181" i="61"/>
  <c r="Q871" i="61"/>
  <c r="Q863" i="61"/>
  <c r="Q880" i="61"/>
  <c r="Q378" i="61"/>
  <c r="Q979" i="61"/>
  <c r="Q31" i="61"/>
  <c r="Q218" i="61"/>
  <c r="Q277" i="61"/>
  <c r="Q833" i="61"/>
  <c r="Q248" i="61"/>
  <c r="Q247" i="61"/>
  <c r="Q125" i="61"/>
  <c r="Q955" i="61"/>
  <c r="Q66" i="61"/>
  <c r="Q495" i="61"/>
  <c r="Q619" i="61"/>
  <c r="Q597" i="61"/>
  <c r="Q970" i="61"/>
  <c r="Q404" i="61"/>
  <c r="Q492" i="61"/>
  <c r="Q719" i="61"/>
  <c r="Q483" i="61"/>
  <c r="Q42" i="61"/>
  <c r="Q991" i="61"/>
  <c r="Q426" i="61"/>
  <c r="Q910" i="61"/>
  <c r="Q625" i="61"/>
  <c r="Q963" i="61"/>
  <c r="Q435" i="61"/>
  <c r="Q689" i="61"/>
  <c r="Q359" i="61"/>
  <c r="Q574" i="61"/>
  <c r="Q85" i="61"/>
  <c r="Q915" i="61"/>
  <c r="Q856" i="61"/>
  <c r="Q862" i="61"/>
  <c r="Q798" i="61"/>
  <c r="Q651" i="61"/>
  <c r="Q865" i="61"/>
  <c r="Q240" i="61"/>
  <c r="Q716" i="61"/>
  <c r="Q180" i="61"/>
  <c r="Q201" i="61"/>
  <c r="Q415" i="61"/>
  <c r="Q468" i="61"/>
  <c r="Q228" i="61"/>
  <c r="Q974" i="61"/>
  <c r="Q399" i="61"/>
  <c r="Q214" i="61"/>
  <c r="Q684" i="61"/>
  <c r="Q56" i="61"/>
  <c r="Q28" i="61"/>
  <c r="Q661" i="61"/>
  <c r="Q731" i="61"/>
  <c r="Q134" i="61"/>
  <c r="Q474" i="61"/>
  <c r="Q930" i="61"/>
  <c r="Q487" i="61"/>
  <c r="Q732" i="61"/>
  <c r="Q188" i="61"/>
  <c r="Q239" i="61"/>
  <c r="Q437" i="61"/>
  <c r="Q678" i="61"/>
  <c r="Q992" i="61"/>
  <c r="Q815" i="61"/>
  <c r="Q853" i="61"/>
  <c r="Q318" i="61"/>
  <c r="Q388" i="61"/>
  <c r="Q797" i="61"/>
  <c r="Q262" i="61"/>
  <c r="Q172" i="61"/>
  <c r="Q656" i="61"/>
  <c r="Q255" i="61"/>
  <c r="Q51" i="61"/>
  <c r="Q183" i="61"/>
  <c r="Q816" i="61"/>
  <c r="Q659" i="61"/>
  <c r="Q355" i="61"/>
  <c r="Q772" i="61"/>
  <c r="Q729" i="61"/>
  <c r="Q555" i="61"/>
  <c r="Q382" i="61"/>
  <c r="Q585" i="61"/>
  <c r="Q137" i="61"/>
  <c r="Q386" i="61"/>
  <c r="Q182" i="61"/>
  <c r="Q860" i="61"/>
  <c r="Q335" i="61"/>
  <c r="Q907" i="61"/>
  <c r="Q721" i="61"/>
  <c r="Q937" i="61"/>
  <c r="Q666" i="61"/>
  <c r="Q427" i="61"/>
  <c r="Q236" i="61"/>
  <c r="Q881" i="61"/>
  <c r="Q401" i="61"/>
  <c r="Q563" i="61"/>
  <c r="Q119" i="61"/>
  <c r="Q951" i="61"/>
  <c r="Q873" i="61"/>
  <c r="Q458" i="61"/>
  <c r="Q413" i="61"/>
  <c r="Q926" i="61"/>
  <c r="Q903" i="61"/>
  <c r="Q288" i="61"/>
  <c r="Q964" i="61"/>
  <c r="Q949" i="61"/>
  <c r="Q627" i="61"/>
  <c r="Q883" i="61"/>
  <c r="Q156" i="61"/>
  <c r="Q498" i="61"/>
  <c r="Q776" i="61"/>
  <c r="Q364" i="61"/>
  <c r="Q90" i="61"/>
  <c r="Q764" i="61"/>
  <c r="Q297" i="61"/>
  <c r="Q272" i="61"/>
  <c r="Q299" i="61"/>
  <c r="Q385" i="61"/>
  <c r="Q499" i="61"/>
  <c r="Q213" i="61"/>
  <c r="Q245" i="61"/>
  <c r="Q692" i="61"/>
  <c r="Q988" i="61"/>
  <c r="Q550" i="61"/>
  <c r="Q287" i="61"/>
  <c r="Q194" i="61"/>
  <c r="Q47" i="61"/>
  <c r="Q581" i="61"/>
  <c r="Q476" i="61"/>
  <c r="Q572" i="61"/>
  <c r="Q940" i="61"/>
  <c r="Q872" i="61"/>
  <c r="Q687" i="61"/>
  <c r="Q759" i="61"/>
  <c r="Q33" i="61"/>
  <c r="Q705" i="61"/>
  <c r="Q124" i="61"/>
  <c r="Q295" i="61"/>
  <c r="Q62" i="61"/>
  <c r="Q552" i="61"/>
  <c r="Q824" i="61"/>
  <c r="Q875" i="61"/>
  <c r="Q723" i="61"/>
  <c r="Q258" i="61"/>
  <c r="Q533" i="61"/>
  <c r="Q104" i="61"/>
  <c r="Q184" i="61"/>
  <c r="Q221" i="61"/>
  <c r="Q543" i="61"/>
  <c r="Q54" i="61"/>
  <c r="Q569" i="61"/>
  <c r="Q615" i="61"/>
  <c r="Q745" i="61"/>
  <c r="Q840" i="61"/>
  <c r="Q592" i="61"/>
  <c r="Q737" i="61"/>
  <c r="Q323" i="61"/>
  <c r="Q562" i="61"/>
  <c r="Q96" i="61"/>
  <c r="Q965" i="61"/>
  <c r="Q105" i="61"/>
  <c r="Q497" i="61"/>
  <c r="Q266" i="61"/>
  <c r="Q827" i="61"/>
  <c r="Q439" i="61"/>
  <c r="Q648" i="61"/>
  <c r="Q614" i="61"/>
  <c r="Q440" i="61"/>
  <c r="Q788" i="61"/>
  <c r="Q855" i="61"/>
  <c r="Q528" i="61"/>
  <c r="Q321" i="61"/>
  <c r="Q724" i="61"/>
  <c r="Q755" i="61"/>
  <c r="Q67" i="61"/>
  <c r="Q202" i="61"/>
  <c r="Q285" i="61"/>
  <c r="Q443" i="61"/>
  <c r="Q653" i="61"/>
  <c r="Q985" i="61"/>
  <c r="Q185" i="61"/>
  <c r="Q848" i="61"/>
  <c r="Q524" i="61"/>
  <c r="Q618" i="61"/>
  <c r="Q136" i="61"/>
  <c r="Q246" i="61"/>
  <c r="Q674" i="61"/>
  <c r="Q858" i="61"/>
  <c r="Q966" i="61"/>
  <c r="Q206" i="61"/>
  <c r="Q217" i="61"/>
  <c r="Q269" i="61"/>
  <c r="Q694" i="61"/>
  <c r="Q580" i="61"/>
  <c r="Q867" i="61"/>
  <c r="Q758" i="61"/>
  <c r="Q967" i="61"/>
  <c r="Q793" i="61"/>
  <c r="Q76" i="61"/>
  <c r="Q127" i="61"/>
  <c r="Q849" i="61"/>
  <c r="Q565" i="61"/>
  <c r="Q707" i="61"/>
  <c r="Q400" i="61"/>
  <c r="Q598" i="61"/>
  <c r="Q163" i="61"/>
  <c r="Q428" i="61"/>
  <c r="Q326" i="61"/>
  <c r="Q980" i="61"/>
  <c r="Q877" i="61"/>
  <c r="Q742" i="61"/>
  <c r="Q631" i="61"/>
  <c r="Q315" i="61"/>
  <c r="Q241" i="61"/>
  <c r="Q899" i="61"/>
  <c r="Q577" i="61"/>
  <c r="Q52" i="61"/>
  <c r="Q544" i="61"/>
  <c r="Q658" i="61"/>
  <c r="Q32" i="61"/>
  <c r="Q587" i="61"/>
  <c r="Q471" i="61"/>
  <c r="Q372" i="61"/>
  <c r="Q448" i="61"/>
  <c r="Q407" i="61"/>
  <c r="Q896" i="61"/>
  <c r="Q773" i="61"/>
  <c r="Q220" i="61"/>
  <c r="Q358" i="61"/>
  <c r="Q207" i="61"/>
  <c r="Q215" i="61"/>
  <c r="Q111" i="61"/>
  <c r="Q983" i="61"/>
  <c r="Q300" i="61"/>
  <c r="Q609" i="61"/>
  <c r="Q92" i="61"/>
  <c r="Q313" i="61"/>
  <c r="Q479" i="61"/>
  <c r="Q780" i="61"/>
  <c r="Q75" i="61"/>
  <c r="Q115" i="61"/>
  <c r="Q606" i="61"/>
  <c r="Q79" i="61"/>
  <c r="Q945" i="61"/>
  <c r="Q660" i="61"/>
  <c r="Q94" i="61"/>
  <c r="Q736" i="61"/>
  <c r="Q783" i="61"/>
  <c r="Q673" i="61"/>
  <c r="Q84" i="61"/>
  <c r="Q170" i="61"/>
  <c r="Q973" i="61"/>
  <c r="Q189" i="61"/>
  <c r="Q279" i="61"/>
  <c r="Q891" i="61"/>
  <c r="Q722" i="61"/>
  <c r="Q100" i="61"/>
  <c r="Q897" i="61"/>
  <c r="Q972" i="61"/>
  <c r="Q116" i="61"/>
  <c r="Q669" i="61"/>
  <c r="Q110" i="61"/>
  <c r="Q957" i="61"/>
  <c r="Q78" i="61"/>
  <c r="Q60" i="61"/>
  <c r="Q433" i="61"/>
  <c r="Q626" i="61"/>
  <c r="Q451" i="61"/>
  <c r="Q317" i="61"/>
  <c r="Q493" i="61"/>
  <c r="Q703" i="61"/>
  <c r="Q735" i="61"/>
  <c r="Q775" i="61"/>
  <c r="Q603" i="61"/>
  <c r="Q750" i="61"/>
  <c r="Q344" i="61"/>
  <c r="Q337" i="61"/>
  <c r="Q444" i="61"/>
  <c r="Q357" i="61"/>
  <c r="Q818" i="61"/>
  <c r="Q283" i="61"/>
  <c r="Q86" i="61"/>
  <c r="Q906" i="61"/>
  <c r="Q381" i="61"/>
  <c r="Q578" i="61"/>
  <c r="Q646" i="61"/>
  <c r="Q917" i="61"/>
  <c r="Q505" i="61"/>
  <c r="Q607" i="61"/>
  <c r="Q870" i="61"/>
  <c r="Q571" i="61"/>
  <c r="Q808" i="61"/>
  <c r="Q905" i="61"/>
  <c r="Q919" i="61"/>
  <c r="Q395" i="61"/>
  <c r="Q208" i="61"/>
  <c r="Q195" i="61"/>
  <c r="Q795" i="61"/>
  <c r="Q330" i="61"/>
  <c r="Q252" i="61"/>
  <c r="Q126" i="61"/>
  <c r="Q391" i="61"/>
  <c r="Q807" i="61"/>
  <c r="Q341" i="61"/>
  <c r="Q567" i="61"/>
  <c r="Q145" i="61"/>
  <c r="Q599" i="61"/>
  <c r="Q852" i="61"/>
  <c r="Q699" i="61"/>
  <c r="Q256" i="61"/>
  <c r="Q93" i="61"/>
  <c r="Q45" i="61"/>
  <c r="Q835" i="61"/>
  <c r="Q923" i="61"/>
  <c r="Q541" i="61"/>
  <c r="Q734" i="61"/>
  <c r="Q175" i="61"/>
  <c r="Q868" i="61"/>
  <c r="Q594" i="61"/>
  <c r="Q155" i="61"/>
  <c r="Q253" i="61"/>
  <c r="Q898" i="61"/>
  <c r="Q777" i="61"/>
  <c r="Q844" i="61"/>
  <c r="Q459" i="61"/>
  <c r="Q265" i="61"/>
  <c r="Q121" i="61"/>
  <c r="Q628" i="61"/>
  <c r="Q338" i="61"/>
  <c r="Q57" i="61"/>
  <c r="Q784" i="61"/>
  <c r="Q657" i="61"/>
  <c r="Q80" i="61"/>
  <c r="Q765" i="61"/>
  <c r="Q197" i="61"/>
  <c r="Q854" i="61"/>
  <c r="Q263" i="61"/>
  <c r="Q662" i="61"/>
  <c r="Q540" i="61"/>
  <c r="Q114" i="61"/>
  <c r="Q770" i="61"/>
  <c r="Q167" i="61"/>
  <c r="Q49" i="61"/>
  <c r="Q324" i="61"/>
  <c r="Q436" i="61"/>
  <c r="Q112" i="61"/>
  <c r="Q406" i="61"/>
  <c r="Q522" i="61"/>
  <c r="Q168" i="61"/>
  <c r="Q635" i="61"/>
  <c r="Q370" i="61"/>
  <c r="Q193" i="61"/>
  <c r="Q232" i="61"/>
  <c r="Q431" i="61"/>
  <c r="Q676" i="61"/>
  <c r="Q29" i="61"/>
  <c r="Q429" i="61"/>
  <c r="Q663" i="61"/>
  <c r="Q549" i="61"/>
  <c r="Q512" i="61"/>
  <c r="Q554" i="61"/>
  <c r="Q525" i="61"/>
  <c r="Q836" i="61"/>
  <c r="Q97" i="61"/>
  <c r="Q675" i="61"/>
  <c r="Q203" i="61"/>
  <c r="Q612" i="61"/>
  <c r="Q823" i="61"/>
  <c r="Q712" i="61"/>
  <c r="Q173" i="61"/>
  <c r="Q311" i="61"/>
  <c r="Q129" i="61"/>
  <c r="Q222" i="61"/>
  <c r="Q566" i="61"/>
  <c r="Q140" i="61"/>
  <c r="Q298" i="61"/>
  <c r="Q753" i="61"/>
  <c r="Q411" i="61"/>
  <c r="Q575" i="61"/>
  <c r="Q442" i="61"/>
  <c r="Q178" i="61"/>
  <c r="Q227" i="61"/>
  <c r="Q708" i="61"/>
  <c r="Q88" i="61"/>
  <c r="Q913" i="61"/>
  <c r="Q866" i="61"/>
  <c r="Q405" i="61"/>
  <c r="Q638" i="61"/>
  <c r="Q166" i="61"/>
  <c r="Q102" i="61"/>
  <c r="Q296" i="61"/>
  <c r="Q944" i="61"/>
  <c r="Q845" i="61"/>
  <c r="Q846" i="61"/>
  <c r="Q749" i="61"/>
  <c r="Q191" i="61"/>
  <c r="Q310" i="61"/>
  <c r="Q763" i="61"/>
  <c r="Q165" i="61"/>
  <c r="Q556" i="61"/>
  <c r="Q931" i="61"/>
  <c r="Q933" i="61"/>
  <c r="Q171" i="61"/>
  <c r="Q576" i="61"/>
  <c r="Q144" i="61"/>
  <c r="Q796" i="61"/>
  <c r="Q511" i="61"/>
  <c r="Q547" i="61"/>
  <c r="Q48" i="61"/>
  <c r="Q832" i="61"/>
  <c r="Q389" i="61"/>
  <c r="Q507" i="61"/>
  <c r="Q794" i="61"/>
  <c r="Q192" i="61"/>
  <c r="Q596" i="61"/>
  <c r="Q813" i="61"/>
  <c r="Q526" i="61"/>
  <c r="Q243" i="61"/>
  <c r="Q412" i="61"/>
  <c r="Q792" i="61"/>
  <c r="Q475" i="61"/>
  <c r="Q806" i="61"/>
  <c r="Q640" i="61"/>
  <c r="Q665" i="61"/>
  <c r="Q99" i="61"/>
  <c r="Q616" i="61"/>
  <c r="Q305" i="61"/>
  <c r="Q347" i="61"/>
  <c r="Q230" i="61"/>
  <c r="Q820" i="61"/>
  <c r="Q600" i="61"/>
  <c r="Q693" i="61"/>
  <c r="Q481" i="61"/>
  <c r="Q757" i="61"/>
  <c r="Q876" i="61"/>
  <c r="Q551" i="61"/>
  <c r="Q531" i="61"/>
  <c r="Q494" i="61"/>
  <c r="Q643" i="61"/>
  <c r="Q928" i="61"/>
  <c r="Q334" i="61"/>
  <c r="Q438" i="61"/>
  <c r="Q591" i="61"/>
  <c r="Q463" i="61"/>
  <c r="Q264" i="61"/>
  <c r="Q153" i="61"/>
  <c r="Q44" i="61"/>
  <c r="Q362" i="61"/>
  <c r="Q46" i="61"/>
  <c r="Q303" i="61"/>
  <c r="Q799" i="61"/>
  <c r="Q237" i="61"/>
  <c r="Q969" i="61"/>
  <c r="Q69" i="61"/>
  <c r="Q519" i="61"/>
  <c r="Q374" i="61"/>
  <c r="Q841" i="61"/>
  <c r="Q59" i="61"/>
  <c r="Q398" i="61"/>
  <c r="Q422" i="61"/>
  <c r="Q268" i="61"/>
  <c r="Q143" i="61"/>
  <c r="Q513" i="61"/>
  <c r="Q320" i="61"/>
  <c r="Q390" i="61"/>
  <c r="Q139" i="61"/>
  <c r="Q396" i="61"/>
  <c r="Q322" i="61"/>
  <c r="Q319" i="61"/>
  <c r="Q103" i="61"/>
  <c r="Q387" i="61"/>
  <c r="Q496" i="61"/>
  <c r="Q892" i="61"/>
  <c r="Q251" i="61"/>
  <c r="Q948" i="61"/>
  <c r="Q177" i="61"/>
  <c r="Q953" i="61"/>
  <c r="Q449" i="61"/>
  <c r="Q508" i="61"/>
  <c r="Q869" i="61"/>
  <c r="Q516" i="61"/>
  <c r="Q108" i="61"/>
  <c r="Q536" i="61"/>
  <c r="Q771" i="61"/>
  <c r="Q545" i="61"/>
  <c r="Q351" i="61"/>
  <c r="Q539" i="61"/>
  <c r="Q109" i="61"/>
  <c r="Q611" i="61"/>
  <c r="Q559" i="61"/>
  <c r="Q672" i="61"/>
  <c r="Q294" i="61"/>
  <c r="Q346" i="61"/>
  <c r="Q306" i="61"/>
  <c r="Q713" i="61"/>
  <c r="Q453" i="61"/>
  <c r="Q561" i="61"/>
  <c r="Q878" i="61"/>
  <c r="Q690" i="61"/>
  <c r="Q632" i="61"/>
  <c r="Q113" i="61"/>
  <c r="Q645" i="61"/>
  <c r="Q466" i="61"/>
  <c r="Q834" i="61"/>
  <c r="Q345" i="61"/>
  <c r="Q162" i="61"/>
  <c r="Q681" i="61"/>
  <c r="Q196" i="61"/>
  <c r="Q280" i="61"/>
  <c r="Q889" i="61"/>
  <c r="Q89" i="61"/>
  <c r="Q920" i="61"/>
  <c r="Q942" i="61"/>
  <c r="Q789" i="61"/>
  <c r="Q717" i="61"/>
  <c r="Q379" i="61"/>
  <c r="Q709" i="61"/>
  <c r="Q874" i="61"/>
  <c r="Q791" i="61"/>
  <c r="Q91" i="61"/>
  <c r="Q356" i="61"/>
  <c r="Q309" i="61"/>
  <c r="Q553" i="61"/>
  <c r="Q302" i="61"/>
  <c r="Q242" i="61"/>
  <c r="Q741" i="61"/>
  <c r="Q502" i="61"/>
  <c r="Q523" i="61"/>
  <c r="Q766" i="61"/>
  <c r="Q621" i="61"/>
  <c r="Q521" i="61"/>
  <c r="Q613" i="61"/>
  <c r="Q72" i="61"/>
  <c r="Q785" i="61"/>
  <c r="Q691" i="61"/>
  <c r="Q748" i="61"/>
  <c r="Q290" i="61"/>
  <c r="Q198" i="61"/>
  <c r="Q647" i="61"/>
  <c r="Q702" i="61"/>
  <c r="Q828" i="61"/>
  <c r="Q602" i="61"/>
  <c r="Q219" i="61"/>
  <c r="Q450" i="61"/>
  <c r="Q350" i="61"/>
  <c r="Q331" i="61"/>
  <c r="Q595" i="61"/>
  <c r="Q488" i="61"/>
  <c r="Q704" i="61"/>
  <c r="Q922" i="61"/>
  <c r="Q667" i="61"/>
  <c r="Q284" i="61"/>
  <c r="Q271" i="61"/>
  <c r="Q744" i="61"/>
  <c r="Q644" i="61"/>
  <c r="Q584" i="61"/>
  <c r="Q604" i="61"/>
  <c r="Q786" i="61"/>
  <c r="Q847" i="61"/>
  <c r="Q276" i="61"/>
  <c r="Q754" i="61"/>
  <c r="Q403" i="61"/>
  <c r="Q890" i="61"/>
  <c r="Q893" i="61"/>
  <c r="Q530" i="61"/>
  <c r="Q71" i="61"/>
  <c r="Q39" i="61"/>
  <c r="Q460" i="61"/>
  <c r="Q620" i="61"/>
  <c r="Q77" i="61"/>
  <c r="Q210" i="61"/>
  <c r="Q159" i="61"/>
  <c r="Q830" i="61"/>
  <c r="Q720" i="61"/>
  <c r="Q209" i="61"/>
  <c r="Q174" i="61"/>
  <c r="Q307" i="61"/>
  <c r="Q914" i="61"/>
  <c r="Q367" i="61"/>
  <c r="Q292" i="61"/>
  <c r="Q275" i="61"/>
  <c r="Q976" i="61"/>
  <c r="Q837" i="61"/>
  <c r="Q636" i="61"/>
  <c r="Q938" i="61"/>
  <c r="Q695" i="61"/>
  <c r="Q43" i="61"/>
  <c r="Q316" i="61"/>
  <c r="Q805" i="61"/>
  <c r="Q485" i="61"/>
  <c r="Q117" i="61"/>
  <c r="Q588" i="61"/>
  <c r="Q473" i="61"/>
  <c r="Q205" i="61"/>
  <c r="Q939" i="61"/>
  <c r="Q804" i="61"/>
  <c r="Q491" i="61"/>
  <c r="Q756" i="61"/>
  <c r="Q605" i="61"/>
  <c r="Q282" i="61"/>
  <c r="Q169" i="61"/>
  <c r="Q40" i="61"/>
  <c r="Q308" i="61"/>
  <c r="Q291" i="61"/>
  <c r="Q259" i="61"/>
  <c r="Q990" i="61"/>
  <c r="Q424" i="61"/>
  <c r="Q190" i="61"/>
  <c r="Q368" i="61"/>
  <c r="Q470" i="61"/>
  <c r="Q760" i="61"/>
  <c r="Q257" i="61"/>
  <c r="Q843" i="61"/>
  <c r="Q683" i="61"/>
  <c r="Q467" i="61"/>
  <c r="Q895" i="61"/>
  <c r="Q654" i="61"/>
  <c r="Q417" i="61"/>
  <c r="Q960" i="61"/>
  <c r="Q133" i="61"/>
  <c r="Q986" i="61"/>
  <c r="Q61" i="61"/>
  <c r="Q354" i="61"/>
  <c r="Q538" i="61"/>
  <c r="Q733" i="61"/>
  <c r="Q74" i="61"/>
  <c r="Q149" i="61"/>
  <c r="Q801" i="61"/>
  <c r="Q688" i="61"/>
  <c r="Q267" i="61"/>
  <c r="Q908" i="61"/>
  <c r="Q622" i="61"/>
  <c r="Q886" i="61"/>
  <c r="Q682" i="61"/>
  <c r="Q700" i="61"/>
  <c r="Q441" i="61"/>
  <c r="Q420" i="61"/>
  <c r="Q446" i="61"/>
  <c r="Q532" i="61"/>
  <c r="Q670" i="61"/>
  <c r="Q810" i="61"/>
  <c r="Q534" i="61"/>
  <c r="Q762" i="61"/>
  <c r="Q249" i="61"/>
  <c r="Q273" i="61"/>
  <c r="Q579" i="61"/>
  <c r="Q861" i="61"/>
  <c r="Q154" i="61"/>
  <c r="Q366" i="61"/>
  <c r="Q225" i="61"/>
  <c r="Q842" i="61"/>
  <c r="Q971" i="61"/>
  <c r="Q680" i="61"/>
  <c r="Q199" i="61"/>
  <c r="Q151" i="61"/>
  <c r="Q535" i="61"/>
  <c r="Q751" i="61"/>
  <c r="Q365" i="61"/>
  <c r="Q123" i="61"/>
  <c r="Q122" i="61"/>
  <c r="Q353" i="61"/>
  <c r="Q286" i="61"/>
  <c r="Q900" i="61"/>
  <c r="Q557" i="61"/>
  <c r="Q932" i="61"/>
  <c r="Q289" i="61"/>
  <c r="Q679" i="61"/>
  <c r="Q633" i="61"/>
  <c r="Q558" i="61"/>
  <c r="Q34" i="61"/>
  <c r="Q477" i="61"/>
  <c r="Q432" i="61"/>
  <c r="Q649" i="61"/>
  <c r="Q582" i="61"/>
  <c r="Q790" i="61"/>
  <c r="Q916" i="61"/>
  <c r="Q901" i="61"/>
  <c r="Q120" i="61"/>
  <c r="Q164" i="61"/>
  <c r="Q394" i="61"/>
  <c r="Q392" i="61"/>
  <c r="Q141" i="61"/>
  <c r="Q652" i="61"/>
  <c r="Q455" i="61"/>
  <c r="Q425" i="61"/>
  <c r="Q956" i="61"/>
  <c r="Q489" i="61"/>
  <c r="Q274" i="61"/>
  <c r="Q146" i="61"/>
  <c r="Q685" i="61"/>
  <c r="Q718" i="61"/>
  <c r="Q464" i="61"/>
  <c r="Q546" i="61"/>
  <c r="Q325" i="61"/>
  <c r="Q408" i="61"/>
  <c r="Q343" i="61"/>
  <c r="Q912" i="61"/>
  <c r="Q655" i="61"/>
  <c r="Q35" i="61"/>
  <c r="Q469" i="61"/>
  <c r="Q204" i="61"/>
  <c r="Q831" i="61"/>
  <c r="Q106" i="61"/>
  <c r="Q278" i="61"/>
  <c r="Q529" i="61"/>
  <c r="Q568" i="61"/>
  <c r="Q697" i="61"/>
  <c r="Q904" i="61"/>
  <c r="Q293" i="61"/>
  <c r="Q187" i="61"/>
  <c r="Q234" i="61"/>
  <c r="Q888" i="61"/>
  <c r="Q339" i="61"/>
  <c r="Q478" i="61"/>
  <c r="Q53" i="61"/>
  <c r="Q360" i="61"/>
  <c r="Q864" i="61"/>
  <c r="Q83" i="61"/>
  <c r="Q715" i="61"/>
  <c r="Q131" i="61"/>
  <c r="Q918" i="61"/>
  <c r="Q510" i="61"/>
  <c r="Q811" i="61"/>
  <c r="Q63" i="61"/>
  <c r="Q936" i="61"/>
  <c r="Q800" i="61"/>
  <c r="Q714" i="61"/>
  <c r="Q782" i="61"/>
  <c r="Q461" i="61"/>
  <c r="Q87" i="61"/>
  <c r="Q216" i="61"/>
  <c r="Q929" i="61"/>
  <c r="Q952" i="61"/>
  <c r="Q641" i="61"/>
  <c r="Q418" i="61"/>
  <c r="Q369" i="61"/>
  <c r="Q726" i="61"/>
  <c r="Q332" i="61"/>
  <c r="Q250" i="61"/>
  <c r="Q601" i="61"/>
  <c r="Q484" i="61"/>
  <c r="Q725" i="61"/>
  <c r="Q81" i="61"/>
  <c r="Q37" i="61"/>
  <c r="Q950" i="61"/>
  <c r="Q954" i="61"/>
  <c r="Q968" i="61"/>
  <c r="Q500" i="61"/>
  <c r="Q590" i="61"/>
  <c r="Q414" i="61"/>
  <c r="Q410" i="61"/>
  <c r="Q698" i="61"/>
  <c r="Q887" i="61"/>
  <c r="Q593" i="61"/>
  <c r="Q312" i="61"/>
  <c r="Q664" i="61"/>
  <c r="Q363" i="61"/>
  <c r="Q822" i="61"/>
  <c r="Q518" i="61"/>
  <c r="Q235" i="61"/>
  <c r="Q260" i="61"/>
  <c r="Q934" i="61"/>
  <c r="Q623" i="61"/>
  <c r="Q882" i="61"/>
  <c r="Q486" i="61"/>
  <c r="Q624" i="61"/>
  <c r="Q383" i="61"/>
  <c r="Q244" i="61"/>
  <c r="Q768" i="61"/>
  <c r="Q509" i="61"/>
  <c r="Q650" i="61"/>
  <c r="Q548" i="61"/>
  <c r="Q472" i="61"/>
  <c r="Q925" i="61"/>
  <c r="Q212" i="61"/>
  <c r="Q517" i="61"/>
  <c r="Q375" i="61"/>
  <c r="Q514" i="61"/>
  <c r="Q490" i="61"/>
  <c r="Q629" i="61"/>
  <c r="Q281" i="61"/>
  <c r="Q774" i="61"/>
  <c r="Q409" i="61"/>
  <c r="Q30" i="61"/>
  <c r="Q504" i="61"/>
  <c r="Q157" i="61"/>
  <c r="Q223" i="61"/>
  <c r="Q520" i="61"/>
  <c r="Q161" i="61"/>
  <c r="Q637" i="61"/>
  <c r="Q402" i="61"/>
  <c r="Q803" i="61"/>
  <c r="Q668" i="61"/>
  <c r="Q583" i="61"/>
  <c r="Q701" i="61"/>
  <c r="Q809" i="61"/>
  <c r="Q231" i="61"/>
  <c r="Q826" i="61"/>
  <c r="Q457" i="61"/>
  <c r="Q743" i="61"/>
  <c r="Q573" i="61"/>
  <c r="Q147" i="61"/>
  <c r="Q706" i="61"/>
  <c r="Q537" i="61"/>
  <c r="Q769" i="61"/>
  <c r="Q261" i="61"/>
  <c r="Q333" i="61"/>
  <c r="Q179" i="61"/>
  <c r="Q376" i="61"/>
  <c r="Q82" i="61"/>
  <c r="Q542" i="61"/>
  <c r="Q68" i="61"/>
  <c r="Q456" i="61"/>
  <c r="Q752" i="61"/>
  <c r="Q958" i="61"/>
  <c r="Q947" i="61"/>
  <c r="Q677" i="61"/>
  <c r="Q982" i="61"/>
  <c r="Q158" i="61"/>
  <c r="Q447" i="61"/>
  <c r="Q894" i="61"/>
  <c r="Q416" i="61"/>
  <c r="Q41" i="61"/>
  <c r="Q373" i="61"/>
  <c r="Q787" i="61"/>
  <c r="Q778" i="61"/>
  <c r="Q921" i="61"/>
  <c r="Q254" i="61"/>
  <c r="Q36" i="61"/>
  <c r="Q238" i="61"/>
  <c r="Q981" i="61"/>
  <c r="Q434" i="61"/>
  <c r="Q336" i="61"/>
  <c r="Q130" i="61"/>
  <c r="Q761" i="61"/>
  <c r="Q817" i="61"/>
  <c r="Q987" i="61"/>
  <c r="Q64" i="61"/>
  <c r="Q727" i="61"/>
  <c r="Q610" i="61"/>
  <c r="Q233" i="61"/>
  <c r="Q349" i="61"/>
  <c r="Q342" i="61"/>
  <c r="Q224" i="61"/>
  <c r="Q506" i="61"/>
  <c r="Q859" i="61"/>
  <c r="Q371" i="61"/>
  <c r="Q128" i="61"/>
  <c r="Q148" i="61"/>
  <c r="Q560" i="61"/>
  <c r="Q941" i="61"/>
  <c r="Q819" i="61"/>
  <c r="Q421" i="61"/>
  <c r="Q977" i="61"/>
  <c r="Q696" i="61"/>
  <c r="Q301" i="61"/>
  <c r="Q445" i="61"/>
  <c r="Q430" i="61"/>
  <c r="Q393" i="61"/>
  <c r="Q329" i="61"/>
  <c r="Q377" i="61"/>
  <c r="Q515" i="61"/>
  <c r="Q176" i="61"/>
  <c r="Q885" i="61"/>
  <c r="Q527" i="61"/>
  <c r="Q132" i="61"/>
  <c r="Q328" i="61"/>
  <c r="Q92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300-000001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9083F8A9-9C16-4C87-8F8D-D61B4A192CE5}">
      <text>
        <r>
          <rPr>
            <b/>
            <sz val="8"/>
            <color indexed="81"/>
            <rFont val="Tahoma"/>
            <family val="2"/>
            <charset val="238"/>
          </rPr>
          <t>Martin Štěpán:</t>
        </r>
        <r>
          <rPr>
            <sz val="8"/>
            <color indexed="81"/>
            <rFont val="Tahoma"/>
            <family val="2"/>
            <charset val="238"/>
          </rPr>
          <t xml:space="preserve">
rodno číslo je potřeba uvést bez lomítka.</t>
        </r>
      </text>
    </comment>
    <comment ref="A13" authorId="1" shapeId="0" xr:uid="{00000000-0006-0000-0300-000003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4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300-000005000000}">
      <text>
        <r>
          <rPr>
            <b/>
            <sz val="8"/>
            <color indexed="81"/>
            <rFont val="Tahoma"/>
            <family val="2"/>
            <charset val="238"/>
          </rPr>
          <t xml:space="preserve">Martin Štěpán: </t>
        </r>
        <r>
          <rPr>
            <sz val="8"/>
            <color indexed="81"/>
            <rFont val="Tahoma"/>
            <family val="2"/>
            <charset val="23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300-000006000000}">
      <text>
        <r>
          <rPr>
            <b/>
            <sz val="8"/>
            <color indexed="81"/>
            <rFont val="Tahoma"/>
            <family val="2"/>
            <charset val="238"/>
          </rPr>
          <t>Martin Štěpán:</t>
        </r>
        <r>
          <rPr>
            <sz val="8"/>
            <color indexed="81"/>
            <rFont val="Tahoma"/>
            <family val="2"/>
            <charset val="23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9" authorId="0" shapeId="0" xr:uid="{31131F8D-A950-4A6C-BDF6-76B392547D9F}">
      <text>
        <r>
          <rPr>
            <b/>
            <sz val="9"/>
            <color indexed="81"/>
            <rFont val="Tahoma"/>
            <family val="2"/>
            <charset val="238"/>
          </rPr>
          <t xml:space="preserve">Mgr. Martin Štěpán:
</t>
        </r>
        <r>
          <rPr>
            <sz val="9"/>
            <color indexed="81"/>
            <rFont val="Tahoma"/>
            <family val="2"/>
            <charset val="238"/>
          </rPr>
          <t>Pokud vykonáváte činnost OSVČ jako vedlejší a Váš příjem nedosáhl rozhodné částky (pro rok 2024 = 105.520,- Kč ), nemusíte být sociálně pojištěni. Pokud nechcete být sociálně pojištěni, uveďte do tohoto řádku 0.</t>
        </r>
      </text>
    </comment>
    <comment ref="AH9" authorId="0" shapeId="0" xr:uid="{1A25608B-2C0A-4193-A796-60C1850DB444}">
      <text>
        <r>
          <rPr>
            <b/>
            <sz val="9"/>
            <color indexed="81"/>
            <rFont val="Tahoma"/>
            <family val="2"/>
            <charset val="238"/>
          </rPr>
          <t>Martin Štěpán:</t>
        </r>
        <r>
          <rPr>
            <sz val="9"/>
            <color indexed="81"/>
            <rFont val="Tahoma"/>
            <family val="2"/>
            <charset val="238"/>
          </rPr>
          <t xml:space="preserve">
Nechcete-li si platit v roce 2025 nemocenské pojištění OSVČ, vepište částku 0,- Kč.</t>
        </r>
      </text>
    </comment>
    <comment ref="AN13" authorId="0" shapeId="0" xr:uid="{239D6E34-884A-4EE0-893D-CBBC33970FA8}">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K28" authorId="0" shapeId="0" xr:uid="{4011558B-F4F5-417D-8A1F-D3982EB71254}">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E35C8C5B-BAC8-44D6-B334-190D01DCA01E}">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5" authorId="0" shapeId="0" xr:uid="{76735EC9-D396-4D14-9315-AF251B5F3CC5}">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8" authorId="0" shapeId="0" xr:uid="{27C441A5-EA3A-44E0-9115-BEED8377B596}">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788471E-D608-47BC-9428-12D59195267D}">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5" authorId="0" shapeId="0" xr:uid="{DC4478C2-3F65-45A8-B2E5-695825C6F116}">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A28" authorId="0" shapeId="0" xr:uid="{A8E44340-5C1C-4A1A-B07F-B2E223E6A504}">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8" authorId="0" shapeId="0" xr:uid="{D95348C7-36A8-4335-BDA3-E574F2F93242}">
      <text>
        <r>
          <rPr>
            <b/>
            <sz val="8"/>
            <color indexed="81"/>
            <rFont val="Tahoma"/>
            <family val="2"/>
            <charset val="238"/>
          </rPr>
          <t>Martin Štěpán:</t>
        </r>
        <r>
          <rPr>
            <sz val="8"/>
            <color indexed="81"/>
            <rFont val="Tahoma"/>
            <family val="2"/>
            <charset val="238"/>
          </rPr>
          <t xml:space="preserve">
Vyfiltrováním řádků s textem "ANO" dojde k vytištění pouze řádků s nenulovými hodnotami a řádků označných pouze velkým písmenem.
Vyfiltrování se provede tak, že kliknete na šipku/trychtýř v této buňce a následně vyberete pouze položku "ANO"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600-000001000000}">
      <text>
        <r>
          <rPr>
            <b/>
            <sz val="8"/>
            <color indexed="81"/>
            <rFont val="Tahoma"/>
            <family val="2"/>
            <charset val="238"/>
          </rPr>
          <t>ASPEKT HM :</t>
        </r>
        <r>
          <rPr>
            <sz val="8"/>
            <color indexed="81"/>
            <rFont val="Tahoma"/>
            <family val="2"/>
            <charset val="238"/>
          </rPr>
          <t xml:space="preserve"> Tato položka se přenáší z Přílohy 1, strana 1, kterou je potřeba vyplnit před dalším vyplňováním této stránky.</t>
        </r>
      </text>
    </comment>
    <comment ref="E12" authorId="0" shapeId="0" xr:uid="{00000000-0006-0000-0600-000002000000}">
      <text>
        <r>
          <rPr>
            <b/>
            <sz val="8"/>
            <color indexed="81"/>
            <rFont val="Tahoma"/>
            <family val="2"/>
            <charset val="238"/>
          </rPr>
          <t>ASPEKT HM : Tato položka se přenáší z listu závěrka (ZAV), který je potřeba vyplnit před dalším vyplňováním této stránky.</t>
        </r>
        <r>
          <rPr>
            <sz val="8"/>
            <color indexed="81"/>
            <rFont val="Tahoma"/>
            <family val="2"/>
            <charset val="238"/>
          </rPr>
          <t xml:space="preserve">
</t>
        </r>
      </text>
    </comment>
    <comment ref="E13" authorId="0" shapeId="0" xr:uid="{00000000-0006-0000-0600-000003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text>
    </comment>
    <comment ref="E14" authorId="0" shapeId="0" xr:uid="{00000000-0006-0000-0600-000004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r>
          <rPr>
            <sz val="8"/>
            <color indexed="81"/>
            <rFont val="Tahoma"/>
            <family val="2"/>
            <charset val="238"/>
          </rPr>
          <t xml:space="preserve">
</t>
        </r>
      </text>
    </comment>
    <comment ref="F36" authorId="0" shapeId="0" xr:uid="{00000000-0006-0000-0600-000005000000}">
      <text>
        <r>
          <rPr>
            <b/>
            <sz val="8"/>
            <color indexed="81"/>
            <rFont val="Tahoma"/>
            <family val="2"/>
            <charset val="238"/>
          </rPr>
          <t>ASPEKT HM :</t>
        </r>
        <r>
          <rPr>
            <sz val="8"/>
            <color indexed="81"/>
            <rFont val="Tahoma"/>
            <family val="2"/>
            <charset val="238"/>
          </rPr>
          <t xml:space="preserve"> Pokud máte příjmy ze zahraničí, nebo příjmy plynoucí za více zdaňovacích období, je potřeba před dalším vyplňováním této stránky vyplnit přílohu č. 3.</t>
        </r>
      </text>
    </comment>
    <comment ref="H45" authorId="1" shapeId="0" xr:uid="{8F9DA66B-4B51-41A3-BCA8-10E8B70A770D}">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700-000003000000}">
      <text>
        <r>
          <rPr>
            <b/>
            <sz val="9"/>
            <color indexed="81"/>
            <rFont val="Tahoma"/>
            <family val="2"/>
            <charset val="238"/>
          </rPr>
          <t>Martin Štěpán:</t>
        </r>
        <r>
          <rPr>
            <sz val="9"/>
            <color indexed="81"/>
            <rFont val="Tahoma"/>
            <family val="2"/>
            <charset val="238"/>
          </rPr>
          <t xml:space="preserve">
Rodné číslo je potřeba uvést bez lomítek</t>
        </r>
      </text>
    </comment>
    <comment ref="D29" authorId="0" shapeId="0" xr:uid="{8C7F03FC-3A3C-42E1-9038-5D95087E1BE4}">
      <text>
        <r>
          <rPr>
            <b/>
            <sz val="8"/>
            <color indexed="81"/>
            <rFont val="Tahoma"/>
            <family val="2"/>
            <charset val="238"/>
          </rPr>
          <t>Martin Štěpán:</t>
        </r>
        <r>
          <rPr>
            <sz val="8"/>
            <color indexed="81"/>
            <rFont val="Tahoma"/>
            <family val="2"/>
            <charset val="23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800-000001000000}">
      <text>
        <r>
          <rPr>
            <b/>
            <sz val="8"/>
            <color indexed="81"/>
            <rFont val="Tahoma"/>
            <family val="2"/>
            <charset val="238"/>
          </rPr>
          <t>Martin Štěpán:</t>
        </r>
        <r>
          <rPr>
            <sz val="8"/>
            <color indexed="81"/>
            <rFont val="Tahoma"/>
            <family val="2"/>
            <charset val="23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CDA1DA94-746D-4181-8EA1-ED9EC67B9B64}">
      <text>
        <r>
          <rPr>
            <b/>
            <sz val="8"/>
            <color indexed="81"/>
            <rFont val="Tahoma"/>
            <family val="2"/>
            <charset val="238"/>
          </rPr>
          <t>Martin Štěpán:</t>
        </r>
        <r>
          <rPr>
            <sz val="8"/>
            <color indexed="81"/>
            <rFont val="Tahoma"/>
            <family val="2"/>
            <charset val="238"/>
          </rPr>
          <t xml:space="preserve">
Uplatňujete-li výdaj paušálem, vyplňte nejdříve sazbu paušálních výdajů na ř. 30 tohoto listu.</t>
        </r>
      </text>
    </comment>
    <comment ref="F11" authorId="0" shapeId="0" xr:uid="{00000000-0006-0000-0A00-000002000000}">
      <text>
        <r>
          <rPr>
            <b/>
            <sz val="8"/>
            <color indexed="81"/>
            <rFont val="Tahoma"/>
            <family val="2"/>
            <charset val="238"/>
          </rPr>
          <t>Martin Štěpán - ASPEKT HM:</t>
        </r>
        <r>
          <rPr>
            <sz val="8"/>
            <color indexed="81"/>
            <rFont val="Tahoma"/>
            <family val="2"/>
            <charset val="238"/>
          </rPr>
          <t xml:space="preserve">
Pokud vedete daňovou evidenci, začněte vyplňovat list ZAV.</t>
        </r>
      </text>
    </comment>
    <comment ref="A27" authorId="1" shapeId="0" xr:uid="{00000000-0006-0000-0A00-000003000000}">
      <text>
        <r>
          <rPr>
            <b/>
            <sz val="8"/>
            <color indexed="81"/>
            <rFont val="Tahoma"/>
            <family val="2"/>
            <charset val="238"/>
          </rPr>
          <t xml:space="preserve">ASPEKT HM : Tuto položku vyplní pouze poplatníci účtující v soustavě podvojného účetnictví.
</t>
        </r>
        <r>
          <rPr>
            <sz val="8"/>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B00-000001000000}">
      <text>
        <r>
          <rPr>
            <b/>
            <sz val="9"/>
            <color indexed="81"/>
            <rFont val="Tahoma"/>
            <family val="2"/>
            <charset val="238"/>
          </rPr>
          <t>Martin Štěpán:</t>
        </r>
        <r>
          <rPr>
            <sz val="9"/>
            <color indexed="81"/>
            <rFont val="Tahoma"/>
            <family val="2"/>
            <charset val="238"/>
          </rPr>
          <t xml:space="preserve">
Uveďte pouze číselné znaky DIČ, tj. bez "CZ" </t>
        </r>
      </text>
    </comment>
    <comment ref="F43" authorId="0" shapeId="0" xr:uid="{00000000-0006-0000-0B00-000002000000}">
      <text>
        <r>
          <rPr>
            <b/>
            <sz val="9"/>
            <color indexed="81"/>
            <rFont val="Tahoma"/>
            <family val="2"/>
            <charset val="238"/>
          </rPr>
          <t>Martin Štěpán:</t>
        </r>
        <r>
          <rPr>
            <sz val="9"/>
            <color indexed="81"/>
            <rFont val="Tahoma"/>
            <family val="2"/>
            <charset val="238"/>
          </rPr>
          <t xml:space="preserve">
Uveďte pouze číselné znaky DIČ, tj. bez "CZ"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C00-000001000000}">
      <text>
        <r>
          <rPr>
            <b/>
            <sz val="9"/>
            <color indexed="81"/>
            <rFont val="Tahoma"/>
            <family val="2"/>
            <charset val="238"/>
          </rPr>
          <t>Martin Štěpán:</t>
        </r>
        <r>
          <rPr>
            <sz val="9"/>
            <color indexed="81"/>
            <rFont val="Tahoma"/>
            <family val="2"/>
            <charset val="23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color indexed="81"/>
            <rFont val="Tahoma"/>
            <family val="2"/>
            <charset val="238"/>
          </rPr>
          <t>Příklad : D - prodej cenných papírů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E4FD3D0D-5544-453B-80B9-4310DA04E8CC}">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90936CBF-D2EC-4616-B27F-FC4C7CB8CAFB}">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G30" authorId="0" shapeId="0" xr:uid="{0E51E23A-4786-4F50-BCF0-10409609C401}">
      <text>
        <r>
          <rPr>
            <b/>
            <sz val="8"/>
            <color indexed="81"/>
            <rFont val="Tahoma"/>
            <family val="2"/>
            <charset val="238"/>
          </rPr>
          <t xml:space="preserve">Martin Štěpán: </t>
        </r>
        <r>
          <rPr>
            <sz val="8"/>
            <color indexed="81"/>
            <rFont val="Tahoma"/>
            <family val="2"/>
            <charset val="238"/>
          </rPr>
          <t>Do "zaškrtávacích" buněk vpisujte velké písmeno X.</t>
        </r>
        <r>
          <rPr>
            <sz val="8"/>
            <color indexed="81"/>
            <rFont val="Tahoma"/>
            <family val="2"/>
            <charset val="238"/>
          </rPr>
          <t xml:space="preserve">
</t>
        </r>
      </text>
    </comment>
    <comment ref="P48" authorId="0" shapeId="0" xr:uid="{60F0537D-CB17-4F45-AD9C-5A3C2F191829}">
      <text>
        <r>
          <rPr>
            <b/>
            <sz val="8"/>
            <color indexed="81"/>
            <rFont val="Tahoma"/>
            <family val="2"/>
            <charset val="238"/>
          </rPr>
          <t>Mgr. Martin Štěpán:</t>
        </r>
        <r>
          <rPr>
            <sz val="8"/>
            <color indexed="81"/>
            <rFont val="Tahoma"/>
            <family val="2"/>
            <charset val="238"/>
          </rPr>
          <t xml:space="preserve">
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200AACFB-D8E2-49B2-8DEC-29DB3652B65C}">
      <text>
        <r>
          <rPr>
            <b/>
            <sz val="8"/>
            <color indexed="81"/>
            <rFont val="Tahoma"/>
            <family val="2"/>
            <charset val="238"/>
          </rPr>
          <t xml:space="preserve">Mgr. Martin Štěpán:
</t>
        </r>
        <r>
          <rPr>
            <sz val="8"/>
            <color indexed="81"/>
            <rFont val="Tahoma"/>
            <family val="2"/>
            <charset val="238"/>
          </rPr>
          <t>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6" authorId="0" shapeId="0" xr:uid="{9B8E5933-86D1-4149-84C0-D73EA7C85C3A}">
      <text>
        <r>
          <rPr>
            <b/>
            <sz val="8"/>
            <color indexed="81"/>
            <rFont val="Tahoma"/>
            <family val="2"/>
            <charset val="238"/>
          </rPr>
          <t>Martin Štěpán:</t>
        </r>
        <r>
          <rPr>
            <sz val="8"/>
            <color indexed="81"/>
            <rFont val="Tahoma"/>
            <family val="2"/>
            <charset val="238"/>
          </rPr>
          <t xml:space="preserve">
Tato buňka se vyplňuje jen tehdy, pokud součet vyměřovacích zakladů OSVČ a zaměstnání překročí částku 2.110.416 Kč.</t>
        </r>
      </text>
    </comment>
  </commentList>
</comments>
</file>

<file path=xl/sharedStrings.xml><?xml version="1.0" encoding="utf-8"?>
<sst xmlns="http://schemas.openxmlformats.org/spreadsheetml/2006/main" count="7700" uniqueCount="4006">
  <si>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</si>
  <si>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</si>
  <si>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</si>
  <si>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</si>
  <si>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</si>
  <si>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</si>
  <si>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</si>
  <si>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</si>
  <si>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</si>
  <si>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</si>
  <si>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</si>
  <si>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</si>
  <si>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</si>
  <si>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</si>
  <si>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</si>
  <si>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</si>
  <si>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</si>
  <si>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</si>
  <si>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</si>
  <si>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</si>
  <si>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</si>
  <si>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</si>
  <si>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</si>
  <si>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</si>
  <si>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</si>
  <si>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</si>
  <si>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</si>
  <si>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</si>
  <si>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</si>
  <si>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</si>
  <si>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</si>
  <si>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</si>
  <si>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</si>
  <si>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</si>
  <si>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</si>
  <si>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</si>
  <si>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</si>
  <si>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</si>
  <si>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</si>
  <si>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</si>
  <si>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</si>
  <si>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</si>
  <si>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</si>
  <si>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</si>
  <si>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</si>
  <si>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</si>
  <si>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</si>
  <si>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</si>
  <si>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</si>
  <si>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</si>
  <si>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</si>
  <si>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</si>
  <si>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</si>
  <si>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</si>
  <si>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</si>
  <si>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</si>
  <si>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238"/>
      </rPr>
      <t>na celé Kč</t>
    </r>
    <r>
      <rPr>
        <sz val="8"/>
        <rFont val="Arial CE"/>
        <family val="2"/>
        <charset val="238"/>
      </rPr>
      <t xml:space="preserve"> nahoru </t>
    </r>
    <r>
      <rPr>
        <b/>
        <sz val="8"/>
        <rFont val="Arial CE"/>
        <family val="2"/>
        <charset val="238"/>
      </rPr>
      <t>bez znaménka mínus</t>
    </r>
    <r>
      <rPr>
        <sz val="8"/>
        <rFont val="Arial CE"/>
        <family val="2"/>
        <charset val="238"/>
      </rPr>
      <t xml:space="preserve"> </t>
    </r>
  </si>
  <si>
    <t>Celkem</t>
  </si>
  <si>
    <t>Daňové zvýhodnění na vyživované dítě</t>
  </si>
  <si>
    <t>Počet měsíců činnosti</t>
  </si>
  <si>
    <r>
      <t xml:space="preserve">Popis úpravy podle § 5, § 23 zákona </t>
    </r>
    <r>
      <rPr>
        <b/>
        <sz val="8"/>
        <rFont val="Arial"/>
        <family val="2"/>
        <charset val="238"/>
      </rPr>
      <t>zvyšující</t>
    </r>
    <r>
      <rPr>
        <sz val="8"/>
        <rFont val="Arial"/>
        <family val="2"/>
      </rPr>
      <t xml:space="preserve"> výsledek hospodaření nebo rozdíl mezi příjmy a výdaji</t>
    </r>
  </si>
  <si>
    <r>
      <t xml:space="preserve">Popis úpravy podle § 5, § 23 zákona </t>
    </r>
    <r>
      <rPr>
        <b/>
        <sz val="8"/>
        <rFont val="Arial"/>
        <family val="2"/>
        <charset val="238"/>
      </rPr>
      <t>snižující</t>
    </r>
    <r>
      <rPr>
        <sz val="8"/>
        <rFont val="Arial"/>
        <family val="2"/>
      </rPr>
      <t xml:space="preserve"> výsledek hospodaření nebo rozdíl mezi příjmy a výdaji</t>
    </r>
  </si>
  <si>
    <t>Typ přehledu</t>
  </si>
  <si>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</si>
  <si>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</si>
  <si>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</si>
  <si>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</si>
  <si>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</si>
  <si>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</si>
  <si>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</si>
  <si>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</si>
  <si>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</si>
  <si>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</si>
  <si>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charset val="23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</si>
  <si>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</si>
  <si>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23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</si>
  <si>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</si>
  <si>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</si>
  <si>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</si>
  <si>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</si>
  <si>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</si>
  <si>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23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</si>
  <si>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</si>
  <si>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</si>
  <si>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</si>
  <si>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</si>
  <si>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</si>
  <si>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</si>
  <si>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</si>
  <si>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23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</si>
  <si>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</si>
  <si>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</si>
  <si>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</si>
  <si>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</si>
  <si>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</si>
  <si>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</si>
  <si>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</si>
  <si>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</si>
  <si>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</si>
  <si>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</si>
  <si>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</si>
  <si>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</si>
  <si>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</si>
  <si>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</si>
  <si>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</si>
  <si>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</si>
  <si>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</si>
  <si>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238"/>
      </rPr>
      <t>kladných</t>
    </r>
    <r>
      <rPr>
        <sz val="8"/>
        <rFont val="Arial CE"/>
        <charset val="23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</si>
  <si>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</si>
  <si>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</si>
  <si>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</si>
  <si>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</si>
  <si>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</si>
  <si>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</si>
  <si>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</si>
  <si>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</si>
  <si>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</si>
  <si>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</si>
  <si>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</si>
  <si>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</si>
  <si>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</si>
  <si>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</si>
  <si>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</si>
  <si>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</si>
  <si>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238"/>
      </rPr>
      <t xml:space="preserve"> - uveďte stát zdroje zahraničních příjmů</t>
    </r>
  </si>
  <si>
    <r>
      <t>3. zaplacená daň</t>
    </r>
    <r>
      <rPr>
        <sz val="8"/>
        <rFont val="Arial"/>
        <family val="2"/>
        <charset val="238"/>
      </rPr>
      <t xml:space="preserve"> - uveďte částku daně zaplacené v tomto státě v místní měně</t>
    </r>
  </si>
  <si>
    <r>
      <t>4. daň</t>
    </r>
    <r>
      <rPr>
        <sz val="8"/>
        <rFont val="Arial"/>
        <family val="2"/>
        <charset val="23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</si>
  <si>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23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</si>
  <si>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</si>
  <si>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</si>
  <si>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</si>
  <si>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</si>
  <si>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</si>
  <si>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</si>
  <si>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</si>
  <si>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</si>
  <si>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</si>
  <si>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</si>
  <si>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</si>
  <si>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</si>
  <si>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</si>
  <si>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</si>
  <si>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</si>
  <si>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</si>
  <si>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</si>
  <si>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</si>
  <si>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</si>
  <si>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</si>
  <si>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</si>
  <si>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</si>
  <si>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</si>
  <si>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</si>
  <si>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</si>
  <si>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</si>
  <si>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</si>
  <si>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</si>
  <si>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</si>
  <si>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</si>
  <si>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</si>
  <si>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</si>
  <si>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</si>
  <si>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</si>
  <si>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</si>
  <si>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</si>
  <si>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</si>
  <si>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</si>
  <si>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</si>
  <si>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</si>
  <si>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</si>
  <si>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</si>
  <si>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</si>
  <si>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</si>
  <si>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</si>
  <si>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</si>
  <si>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</si>
  <si>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</si>
  <si>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</si>
  <si>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</si>
  <si>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</si>
  <si>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</si>
  <si>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</si>
  <si>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</si>
  <si>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</si>
  <si>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</si>
  <si>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</si>
  <si>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</si>
  <si>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</si>
  <si>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</si>
  <si>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</si>
  <si>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</si>
  <si>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</si>
  <si>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</si>
  <si>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</si>
  <si>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</si>
  <si>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</si>
  <si>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</si>
  <si>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</si>
  <si>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</si>
  <si>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238"/>
      </rPr>
      <t>1</t>
    </r>
    <r>
      <rPr>
        <sz val="8"/>
        <rFont val="Arial CE"/>
        <charset val="238"/>
      </rPr>
      <t>)</t>
    </r>
  </si>
  <si>
    <t>Adresa místa pobytu v den podání DAP</t>
  </si>
  <si>
    <t>Sleva podle § 35a nebo § 35b zákona</t>
  </si>
  <si>
    <t>Poslední známá daň</t>
  </si>
  <si>
    <t>Zjištěná ztráta podle § 141 zákona č. 280/2009 Sb., daňového řádu (ř. 61)</t>
  </si>
  <si>
    <t>Důvody pro podání dodatečného DAP</t>
  </si>
  <si>
    <t xml:space="preserve">PSČ </t>
  </si>
  <si>
    <t>E-mail</t>
  </si>
  <si>
    <t>2. Prohlášení pojištěnce</t>
  </si>
  <si>
    <t>a) zaměstnání</t>
  </si>
  <si>
    <t>b) nemoc OSVČ</t>
  </si>
  <si>
    <t>c)</t>
  </si>
  <si>
    <t>d)</t>
  </si>
  <si>
    <t>e)</t>
  </si>
  <si>
    <t>f)</t>
  </si>
  <si>
    <r>
      <t>E. Úpravy podle § 5, § 23 zákona</t>
    </r>
    <r>
      <rPr>
        <b/>
        <i/>
        <vertAlign val="superscript"/>
        <sz val="8"/>
        <rFont val="Arial CE"/>
        <family val="2"/>
        <charset val="238"/>
      </rPr>
      <t>2</t>
    </r>
    <r>
      <rPr>
        <b/>
        <i/>
        <sz val="8"/>
        <rFont val="Arial CE"/>
        <charset val="23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</si>
  <si>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</si>
  <si>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</si>
  <si>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238"/>
      </rPr>
      <t>2)</t>
    </r>
  </si>
  <si>
    <t>č.</t>
  </si>
  <si>
    <t>Kód banky</t>
  </si>
  <si>
    <t>specifický symbol</t>
  </si>
  <si>
    <t>Počet měsíců</t>
  </si>
  <si>
    <t>Dílčí základ daně z kapitálového majetku podle § 8 zákona</t>
  </si>
  <si>
    <t>a)</t>
  </si>
  <si>
    <t>b)</t>
  </si>
  <si>
    <t>ano</t>
  </si>
  <si>
    <r>
      <t xml:space="preserve">03 DAP </t>
    </r>
    <r>
      <rPr>
        <vertAlign val="superscript"/>
        <sz val="8"/>
        <rFont val="Arial CE"/>
        <family val="2"/>
        <charset val="238"/>
      </rPr>
      <t>1)</t>
    </r>
  </si>
  <si>
    <t>Důvody pro podání dodatečného                                                       DAP zjištěny dne</t>
  </si>
  <si>
    <t>1-12</t>
  </si>
  <si>
    <r>
      <t>05a Zákonná povinnost ověření účetní závěrky auditorem</t>
    </r>
    <r>
      <rPr>
        <vertAlign val="superscript"/>
        <sz val="8"/>
        <rFont val="Arial CE"/>
        <family val="2"/>
        <charset val="238"/>
      </rPr>
      <t>1)</t>
    </r>
  </si>
  <si>
    <t>Účetní závěrka poplatníka, který vede účetnictví</t>
  </si>
  <si>
    <t>Závěrka daňové evidence</t>
  </si>
  <si>
    <r>
      <t>Vedu účetnictví</t>
    </r>
    <r>
      <rPr>
        <vertAlign val="superscript"/>
        <sz val="8"/>
        <rFont val="Arial CE"/>
        <family val="2"/>
        <charset val="238"/>
      </rPr>
      <t>1</t>
    </r>
    <r>
      <rPr>
        <sz val="8"/>
        <rFont val="Arial CE"/>
        <family val="2"/>
        <charset val="23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</si>
  <si>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</si>
  <si>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</si>
  <si>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</si>
  <si>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</si>
  <si>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</si>
  <si>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</si>
  <si>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</si>
  <si>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</si>
  <si>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</si>
  <si>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</si>
  <si>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</si>
  <si>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</si>
  <si>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</si>
  <si>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</si>
  <si>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</si>
  <si>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</si>
  <si>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</si>
  <si>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</si>
  <si>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</si>
  <si>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</si>
  <si>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</si>
  <si>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</si>
  <si>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</si>
  <si>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</si>
  <si>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</si>
  <si>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</si>
  <si>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</si>
  <si>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</si>
  <si>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</si>
  <si>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</si>
  <si>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Datum narození</t>
  </si>
  <si>
    <t>Počet příloh</t>
  </si>
  <si>
    <t>Podpis (a razítko) OSVČ</t>
  </si>
  <si>
    <t>Podpis a razítko OSSZ</t>
  </si>
  <si>
    <t>strana 2</t>
  </si>
  <si>
    <r>
      <t>B. Druh činnosti</t>
    </r>
    <r>
      <rPr>
        <b/>
        <vertAlign val="superscript"/>
        <sz val="8"/>
        <rFont val="Arial CE"/>
        <family val="2"/>
        <charset val="23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</si>
  <si>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</si>
  <si>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</si>
  <si>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</si>
  <si>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</si>
  <si>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</si>
  <si>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23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</si>
  <si>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</si>
  <si>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</si>
  <si>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</si>
  <si>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</si>
  <si>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</si>
  <si>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</si>
  <si>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</si>
  <si>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</si>
  <si>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</si>
  <si>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</si>
  <si>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</si>
  <si>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</si>
  <si>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</si>
  <si>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</si>
  <si>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</si>
  <si>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</si>
  <si>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</si>
  <si>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238"/>
      </rPr>
      <t>1</t>
    </r>
    <r>
      <rPr>
        <sz val="8"/>
        <rFont val="Arial CE"/>
        <family val="2"/>
        <charset val="23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</si>
  <si>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</si>
  <si>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</si>
  <si>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</si>
  <si>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</si>
  <si>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</si>
  <si>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</si>
  <si>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</si>
  <si>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</si>
  <si>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</si>
  <si>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</si>
  <si>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</si>
  <si>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</si>
  <si>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</si>
  <si>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</si>
  <si>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</si>
  <si>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</si>
  <si>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</si>
  <si>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</si>
  <si>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</si>
  <si>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</si>
  <si>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</si>
  <si>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23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</si>
  <si>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</si>
  <si>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</si>
  <si>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</si>
  <si>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</si>
  <si>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</si>
  <si>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</si>
  <si>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</si>
  <si>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</si>
  <si>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</si>
  <si>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</si>
  <si>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</si>
  <si>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</si>
  <si>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</si>
  <si>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</si>
  <si>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</si>
  <si>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</si>
  <si>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</si>
  <si>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</si>
  <si>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4</t>
  </si>
  <si>
    <t>Počet měsíců, ve kterých pro OSVČ platil minimální vyměřovací základ</t>
  </si>
  <si>
    <t>Řádek 6</t>
  </si>
  <si>
    <t>Řádek 9</t>
  </si>
  <si>
    <t>Řádek 16</t>
  </si>
  <si>
    <t>Řádek 41</t>
  </si>
  <si>
    <t xml:space="preserve">Přeplatek </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</si>
  <si>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</si>
  <si>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</si>
  <si>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</si>
  <si>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</si>
  <si>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</si>
  <si>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</si>
  <si>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</si>
  <si>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</si>
  <si>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</si>
  <si>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</si>
  <si>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</si>
  <si>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</si>
  <si>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</si>
  <si>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</si>
  <si>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</si>
  <si>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</si>
  <si>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</si>
  <si>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</si>
  <si>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</si>
  <si>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</si>
  <si>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</si>
  <si>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</si>
  <si>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</si>
  <si>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</si>
  <si>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</si>
  <si>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</si>
  <si>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</si>
  <si>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</si>
  <si>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</si>
  <si>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</si>
  <si>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</si>
  <si>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</si>
  <si>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</si>
  <si>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</si>
  <si>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</si>
  <si>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</si>
  <si>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</si>
  <si>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</si>
  <si>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</si>
  <si>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</si>
  <si>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</si>
  <si>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</si>
  <si>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</si>
  <si>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</si>
  <si>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</si>
  <si>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</si>
  <si>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</si>
  <si>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</si>
  <si>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</si>
  <si>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</si>
  <si>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</si>
  <si>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</si>
  <si>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</si>
  <si>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</si>
  <si>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</si>
  <si>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</si>
  <si>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</si>
  <si>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</si>
  <si>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</si>
  <si>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</si>
  <si>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</si>
  <si>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</si>
  <si>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</si>
  <si>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</si>
  <si>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</si>
  <si>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</si>
  <si>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</si>
  <si>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</si>
  <si>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</si>
  <si>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</si>
  <si>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</si>
  <si>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</si>
  <si>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</si>
  <si>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</si>
  <si>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</si>
  <si>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</si>
  <si>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</si>
  <si>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</si>
  <si>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</si>
  <si>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</si>
  <si>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</si>
  <si>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</si>
  <si>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</si>
  <si>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</si>
  <si>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</si>
  <si>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</si>
  <si>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</si>
  <si>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</si>
  <si>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</si>
  <si>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</si>
  <si>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</si>
  <si>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</si>
  <si>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</si>
  <si>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</si>
  <si>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</si>
  <si>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</si>
  <si>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</si>
  <si>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</si>
  <si>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</si>
  <si>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</si>
  <si>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</si>
  <si>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</si>
  <si>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</si>
  <si>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</si>
  <si>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</si>
  <si>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</si>
  <si>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</si>
  <si>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</si>
  <si>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</si>
  <si>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</si>
  <si>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</si>
  <si>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</si>
  <si>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</si>
  <si>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</si>
  <si>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</si>
  <si>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</si>
  <si>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</si>
  <si>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</si>
  <si>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</si>
  <si>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</si>
  <si>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</si>
  <si>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</si>
  <si>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</si>
  <si>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</si>
  <si>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</si>
  <si>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</si>
  <si>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</si>
  <si>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</si>
  <si>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</si>
  <si>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</si>
  <si>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</si>
  <si>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</si>
  <si>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</si>
  <si>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</si>
  <si>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</si>
  <si>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</si>
  <si>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</si>
  <si>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</si>
  <si>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</si>
  <si>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</si>
  <si>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</si>
  <si>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</si>
  <si>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</si>
  <si>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</si>
  <si>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</si>
  <si>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</si>
  <si>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</si>
  <si>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</si>
  <si>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</si>
  <si>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</si>
  <si>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</si>
  <si>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</si>
  <si>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</si>
  <si>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</si>
  <si>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</si>
  <si>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</si>
  <si>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</si>
  <si>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</si>
  <si>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</si>
  <si>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</si>
  <si>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</si>
  <si>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</si>
  <si>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</si>
  <si>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</si>
  <si>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</si>
  <si>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</si>
  <si>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</si>
  <si>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</si>
  <si>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</si>
  <si>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</si>
  <si>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</si>
  <si>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</si>
  <si>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</si>
  <si>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</si>
  <si>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</si>
  <si>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</si>
  <si>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</si>
  <si>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</si>
  <si>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</si>
  <si>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</si>
  <si>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</si>
  <si>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</si>
  <si>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</si>
  <si>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</si>
  <si>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</si>
  <si>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</si>
  <si>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</si>
  <si>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</si>
  <si>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</si>
  <si>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</si>
  <si>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</si>
  <si>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</si>
  <si>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</si>
  <si>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</si>
  <si>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</si>
  <si>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</si>
  <si>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</si>
  <si>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</si>
  <si>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</si>
  <si>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</si>
  <si>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</si>
  <si>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</si>
  <si>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</si>
  <si>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</si>
  <si>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</si>
  <si>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</si>
  <si>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</si>
  <si>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</si>
  <si>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</si>
  <si>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</si>
  <si>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</si>
  <si>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</si>
  <si>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</si>
  <si>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</si>
  <si>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</si>
  <si>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</si>
  <si>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</si>
  <si>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</si>
  <si>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</si>
  <si>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</si>
  <si>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</si>
  <si>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</si>
  <si>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</si>
  <si>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</si>
  <si>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</si>
  <si>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</si>
  <si>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</si>
  <si>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</si>
  <si>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</si>
  <si>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</si>
  <si>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</si>
  <si>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</si>
  <si>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</si>
  <si>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</si>
  <si>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</si>
  <si>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</si>
  <si>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</si>
  <si>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</si>
  <si>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</si>
  <si>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</si>
  <si>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</si>
  <si>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</si>
  <si>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</si>
  <si>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</si>
  <si>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</si>
  <si>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</si>
  <si>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</si>
  <si>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</si>
  <si>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</si>
  <si>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</si>
  <si>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</si>
  <si>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</si>
  <si>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</si>
  <si>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</si>
  <si>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</si>
  <si>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</si>
  <si>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</si>
  <si>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</si>
  <si>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</si>
  <si>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</si>
  <si>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</si>
  <si>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</si>
  <si>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</si>
  <si>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</si>
  <si>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</si>
  <si>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</si>
  <si>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</si>
  <si>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</si>
  <si>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</si>
  <si>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</si>
  <si>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</si>
  <si>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</si>
  <si>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</si>
  <si>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</si>
  <si>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</si>
  <si>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</si>
  <si>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</si>
  <si>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</si>
  <si>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</si>
  <si>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</si>
  <si>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</si>
  <si>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</si>
  <si>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</si>
  <si>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</si>
  <si>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</si>
  <si>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</si>
  <si>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</si>
  <si>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</si>
  <si>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</si>
  <si>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</si>
  <si>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</si>
  <si>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</si>
  <si>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</si>
  <si>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</si>
  <si>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</si>
  <si>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</si>
  <si>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</si>
  <si>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</si>
  <si>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</si>
  <si>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</si>
  <si>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</si>
  <si>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</si>
  <si>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</si>
  <si>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</si>
  <si>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</si>
  <si>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</si>
  <si>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</si>
  <si>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</si>
  <si>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</si>
  <si>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</si>
  <si>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</si>
  <si>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</si>
  <si>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</si>
  <si>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</si>
  <si>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</si>
  <si>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</si>
  <si>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</si>
  <si>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</si>
  <si>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</si>
  <si>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</si>
  <si>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</si>
  <si>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</si>
  <si>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</si>
  <si>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</si>
  <si>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</si>
  <si>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</si>
  <si>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</si>
  <si>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</si>
  <si>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</si>
  <si>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</si>
  <si>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</si>
  <si>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</si>
  <si>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</si>
  <si>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</si>
  <si>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</si>
  <si>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</si>
  <si>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</si>
  <si>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</si>
  <si>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</si>
  <si>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</si>
  <si>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</si>
  <si>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</si>
  <si>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</si>
  <si>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</si>
  <si>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</si>
  <si>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</si>
  <si>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</si>
  <si>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</si>
  <si>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</si>
  <si>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</si>
  <si>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</si>
  <si>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</si>
  <si>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</si>
  <si>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</si>
  <si>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</si>
  <si>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</si>
  <si>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</si>
  <si>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</si>
  <si>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</si>
  <si>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</si>
  <si>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</si>
  <si>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</si>
  <si>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</si>
  <si>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</si>
  <si>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</si>
  <si>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</si>
  <si>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</si>
  <si>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</si>
  <si>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</si>
  <si>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</si>
  <si>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</si>
  <si>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</si>
  <si>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</si>
  <si>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</si>
  <si>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</si>
  <si>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</si>
  <si>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</si>
  <si>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</si>
  <si>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</si>
  <si>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</si>
  <si>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</si>
  <si>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</si>
  <si>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</si>
  <si>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</si>
  <si>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</si>
  <si>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</si>
  <si>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</si>
  <si>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</si>
  <si>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</si>
  <si>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</si>
  <si>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</si>
  <si>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</si>
  <si>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</si>
  <si>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</si>
  <si>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</si>
  <si>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</si>
  <si>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</si>
  <si>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</si>
  <si>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</si>
  <si>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</si>
  <si>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</si>
  <si>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</si>
  <si>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</si>
  <si>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</si>
  <si>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</si>
  <si>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</si>
  <si>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</si>
  <si>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</si>
  <si>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</si>
  <si>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</si>
  <si>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</si>
  <si>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</si>
  <si>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</si>
  <si>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</si>
  <si>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</si>
  <si>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</si>
  <si>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</si>
  <si>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</si>
  <si>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</si>
  <si>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</si>
  <si>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</si>
  <si>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</si>
  <si>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</si>
  <si>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</si>
  <si>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</si>
  <si>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</si>
  <si>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</si>
  <si>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</si>
  <si>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</si>
  <si>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</si>
  <si>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</si>
  <si>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</si>
  <si>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</si>
  <si>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</si>
  <si>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</si>
  <si>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</si>
  <si>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</si>
  <si>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</si>
  <si>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</si>
  <si>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</si>
  <si>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</si>
  <si>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</si>
  <si>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</si>
  <si>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</si>
  <si>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</si>
  <si>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</si>
  <si>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</si>
  <si>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</si>
  <si>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</si>
  <si>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</si>
  <si>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</si>
  <si>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</si>
  <si>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</si>
  <si>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</si>
  <si>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</si>
  <si>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</si>
  <si>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</si>
  <si>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</si>
  <si>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</si>
  <si>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</si>
  <si>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</si>
  <si>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</si>
  <si>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</si>
  <si>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</si>
  <si>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</si>
  <si>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</si>
  <si>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</si>
  <si>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</si>
  <si>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</si>
  <si>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</si>
  <si>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</si>
  <si>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</si>
  <si>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</si>
  <si>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</si>
  <si>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</si>
  <si>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</si>
  <si>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</si>
  <si>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</si>
  <si>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</si>
  <si>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</si>
  <si>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</si>
  <si>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</si>
  <si>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</si>
  <si>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</si>
  <si>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</si>
  <si>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</si>
  <si>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</si>
  <si>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</si>
  <si>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</si>
  <si>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</si>
  <si>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</si>
  <si>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</si>
  <si>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</si>
  <si>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</si>
  <si>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</si>
  <si>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</si>
  <si>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</si>
  <si>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</si>
  <si>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</si>
  <si>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</si>
  <si>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</si>
  <si>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</si>
  <si>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</si>
  <si>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</si>
  <si>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</si>
  <si>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</si>
  <si>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</si>
  <si>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</si>
  <si>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</si>
  <si>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</si>
  <si>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</si>
  <si>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</si>
  <si>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</si>
  <si>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</si>
  <si>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</si>
  <si>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</si>
  <si>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</si>
  <si>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</si>
  <si>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</si>
  <si>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</si>
  <si>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</si>
  <si>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</si>
  <si>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</si>
  <si>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</si>
  <si>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</si>
  <si>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</si>
  <si>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</si>
  <si>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</si>
  <si>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</si>
  <si>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</si>
  <si>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</si>
  <si>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</si>
  <si>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</si>
  <si>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</si>
  <si>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</si>
  <si>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</si>
  <si>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</si>
  <si>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</si>
  <si>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</si>
  <si>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</si>
  <si>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</si>
  <si>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</si>
  <si>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</si>
  <si>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</si>
  <si>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</si>
  <si>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</si>
  <si>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</si>
  <si>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</si>
  <si>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</si>
  <si>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</si>
  <si>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</si>
  <si>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</si>
  <si>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</si>
  <si>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</si>
  <si>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</si>
  <si>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</si>
  <si>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</si>
  <si>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</si>
  <si>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</si>
  <si>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</si>
  <si>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</si>
  <si>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</si>
  <si>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</si>
  <si>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</si>
  <si>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</si>
  <si>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</si>
  <si>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</si>
  <si>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</si>
  <si>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</si>
  <si>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</si>
  <si>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</si>
  <si>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</si>
  <si>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</si>
  <si>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</si>
  <si>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</si>
  <si>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</si>
  <si>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</si>
  <si>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</si>
  <si>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</si>
  <si>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</si>
  <si>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</si>
  <si>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</si>
  <si>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</si>
  <si>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</si>
  <si>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</si>
  <si>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</si>
  <si>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</si>
  <si>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</si>
  <si>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</si>
  <si>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</si>
  <si>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</si>
  <si>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</si>
  <si>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</si>
  <si>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</si>
  <si>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</si>
  <si>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</si>
  <si>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</si>
  <si>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</si>
  <si>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</si>
  <si>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</si>
  <si>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</si>
  <si>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</si>
  <si>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</si>
  <si>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</si>
  <si>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</si>
  <si>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</si>
  <si>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</si>
  <si>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</si>
  <si>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</si>
  <si>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</si>
  <si>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</si>
  <si>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</si>
  <si>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</si>
  <si>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</si>
  <si>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</si>
  <si>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</si>
  <si>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</si>
  <si>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</si>
  <si>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</si>
  <si>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</si>
  <si>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</si>
  <si>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</si>
  <si>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</si>
  <si>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</si>
  <si>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</si>
  <si>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</si>
  <si>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</si>
  <si>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</si>
  <si>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</si>
  <si>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</si>
  <si>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</si>
  <si>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</si>
  <si>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</si>
  <si>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</si>
  <si>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</si>
  <si>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</si>
  <si>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</si>
  <si>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</si>
  <si>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</si>
  <si>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</si>
  <si>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</si>
  <si>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</si>
  <si>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</si>
  <si>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</si>
  <si>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</si>
  <si>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</si>
  <si>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</si>
  <si>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</si>
  <si>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</si>
  <si>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</si>
  <si>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</si>
  <si>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</si>
  <si>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</si>
  <si>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</si>
  <si>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</si>
  <si>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</si>
  <si>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</si>
  <si>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</si>
  <si>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</si>
  <si>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</si>
  <si>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</si>
  <si>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</si>
  <si>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</si>
  <si>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</si>
  <si>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</si>
  <si>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</si>
  <si>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</si>
  <si>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</si>
  <si>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</si>
  <si>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</si>
  <si>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</si>
  <si>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</si>
  <si>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</si>
  <si>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</si>
  <si>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</si>
  <si>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</si>
  <si>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</si>
  <si>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</si>
  <si>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</si>
  <si>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</si>
  <si>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</si>
  <si>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</si>
  <si>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</si>
  <si>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</si>
  <si>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</si>
  <si>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</si>
  <si>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</si>
  <si>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</si>
  <si>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</si>
  <si>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</si>
  <si>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</si>
  <si>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</si>
  <si>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</si>
  <si>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</si>
  <si>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</si>
  <si>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</si>
  <si>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</si>
  <si>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</si>
  <si>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</si>
  <si>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</si>
  <si>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</si>
  <si>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</si>
  <si>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</si>
  <si>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</si>
  <si>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</si>
  <si>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</si>
  <si>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</si>
  <si>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</si>
  <si>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</si>
  <si>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</si>
  <si>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</si>
  <si>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</si>
  <si>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</si>
  <si>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</si>
  <si>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</si>
  <si>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</si>
  <si>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</si>
  <si>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</si>
  <si>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</si>
  <si>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</si>
  <si>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</si>
  <si>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</si>
  <si>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</si>
  <si>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</si>
  <si>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</si>
  <si>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</si>
  <si>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</si>
  <si>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</si>
  <si>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</si>
  <si>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</si>
  <si>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</si>
  <si>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</si>
  <si>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</si>
  <si>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</si>
  <si>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</si>
  <si>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</si>
  <si>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</si>
  <si>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</si>
  <si>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</si>
  <si>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</si>
  <si>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</si>
  <si>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</si>
  <si>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</si>
  <si>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</si>
  <si>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</si>
  <si>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</si>
  <si>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</si>
  <si>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</si>
  <si>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</si>
  <si>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</si>
  <si>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</si>
  <si>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</si>
  <si>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</si>
  <si>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</si>
  <si>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</si>
  <si>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</si>
  <si>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</si>
  <si>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</si>
  <si>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</si>
  <si>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</si>
  <si>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</si>
  <si>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</si>
  <si>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</si>
  <si>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</si>
  <si>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</si>
  <si>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</si>
  <si>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</si>
  <si>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</si>
  <si>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</si>
  <si>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</si>
  <si>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</si>
  <si>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</si>
  <si>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</si>
  <si>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</si>
  <si>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</si>
  <si>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</si>
  <si>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</si>
  <si>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</si>
  <si>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</si>
  <si>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</si>
  <si>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</si>
  <si>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</si>
  <si>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</si>
  <si>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</si>
  <si>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</si>
  <si>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</si>
  <si>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</si>
  <si>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</si>
  <si>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</si>
  <si>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</si>
  <si>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</si>
  <si>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</si>
  <si>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</si>
  <si>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</si>
  <si>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</si>
  <si>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</si>
  <si>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</si>
  <si>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</si>
  <si>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</si>
  <si>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</si>
  <si>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</si>
  <si>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</si>
  <si>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</si>
  <si>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</si>
  <si>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</si>
  <si>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</si>
  <si>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</si>
  <si>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</si>
  <si>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</si>
  <si>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</si>
  <si>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</si>
  <si>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</si>
  <si>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</si>
  <si>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</si>
  <si>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</si>
  <si>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</si>
  <si>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</si>
  <si>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</si>
  <si>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</si>
  <si>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</si>
  <si>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</si>
  <si>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</si>
  <si>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</si>
  <si>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</si>
  <si>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</si>
  <si>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</si>
  <si>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</si>
  <si>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</si>
  <si>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</si>
  <si>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</si>
  <si>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</si>
  <si>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</si>
  <si>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</si>
  <si>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</si>
  <si>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</si>
  <si>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</si>
  <si>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</si>
  <si>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</si>
  <si>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</si>
  <si>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</si>
  <si>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</si>
  <si>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</si>
  <si>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</si>
  <si>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</si>
  <si>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</si>
  <si>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</si>
  <si>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</si>
  <si>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</si>
  <si>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</si>
  <si>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</si>
  <si>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</si>
  <si>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</si>
  <si>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</si>
  <si>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</si>
  <si>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</si>
  <si>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</si>
  <si>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</si>
  <si>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</si>
  <si>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</si>
  <si>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</si>
  <si>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</si>
  <si>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</si>
  <si>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</si>
  <si>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</si>
  <si>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</si>
  <si>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</si>
  <si>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</si>
  <si>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</si>
  <si>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</si>
  <si>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</si>
  <si>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</si>
  <si>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</si>
  <si>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</si>
  <si>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</si>
  <si>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</si>
  <si>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</si>
  <si>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</si>
  <si>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</si>
  <si>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</si>
  <si>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</si>
  <si>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</si>
  <si>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</si>
  <si>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</si>
  <si>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</si>
  <si>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</si>
  <si>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</si>
  <si>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</si>
  <si>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</si>
  <si>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</si>
  <si>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</si>
  <si>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</si>
  <si>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</si>
  <si>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</si>
  <si>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</si>
  <si>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</si>
  <si>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</si>
  <si>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</si>
  <si>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</si>
  <si>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</si>
  <si>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</si>
  <si>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</si>
  <si>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</si>
  <si>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</si>
  <si>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</si>
  <si>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</si>
  <si>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</si>
  <si>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</si>
  <si>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</si>
  <si>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</si>
  <si>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</si>
  <si>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</si>
  <si>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</si>
  <si>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</si>
  <si>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</si>
  <si>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</si>
  <si>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</si>
  <si>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</si>
  <si>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</si>
  <si>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</si>
  <si>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</si>
  <si>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</si>
  <si>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</si>
  <si>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</si>
  <si>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</si>
  <si>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</si>
  <si>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</si>
  <si>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</si>
  <si>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</si>
  <si>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</si>
  <si>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</si>
  <si>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</si>
  <si>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</si>
  <si>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</si>
  <si>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</si>
  <si>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</si>
  <si>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</si>
  <si>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</si>
  <si>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</si>
  <si>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</si>
  <si>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</si>
  <si>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</si>
  <si>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</si>
  <si>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</si>
  <si>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</si>
  <si>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</si>
  <si>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</si>
  <si>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</si>
  <si>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</si>
  <si>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</si>
  <si>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</si>
  <si>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</si>
  <si>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</si>
  <si>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</si>
  <si>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</si>
  <si>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</si>
  <si>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</si>
  <si>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</si>
  <si>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</si>
  <si>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</si>
  <si>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</si>
  <si>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</si>
  <si>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</si>
  <si>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</si>
  <si>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</si>
  <si>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</si>
  <si>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</si>
  <si>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</si>
  <si>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</si>
  <si>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</si>
  <si>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</si>
  <si>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</si>
  <si>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</si>
  <si>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</si>
  <si>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</si>
  <si>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</si>
  <si>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</si>
  <si>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</si>
  <si>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</si>
  <si>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</si>
  <si>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</si>
  <si>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</si>
  <si>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</si>
  <si>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</si>
  <si>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</si>
  <si>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</si>
  <si>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</si>
  <si>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</si>
  <si>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</si>
  <si>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</si>
  <si>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</si>
  <si>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</si>
  <si>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</si>
  <si>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</si>
  <si>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</si>
  <si>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</si>
  <si>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</si>
  <si>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</si>
  <si>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</si>
  <si>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</si>
  <si>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</si>
  <si>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</si>
  <si>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</si>
  <si>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</si>
  <si>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</si>
  <si>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</si>
  <si>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</si>
  <si>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</si>
  <si>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</si>
  <si>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</si>
  <si>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</si>
  <si>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</si>
  <si>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</si>
  <si>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</si>
  <si>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</si>
  <si>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</si>
  <si>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</si>
  <si>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</si>
  <si>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</si>
  <si>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</si>
  <si>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</si>
  <si>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</si>
  <si>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</si>
  <si>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</si>
  <si>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</si>
  <si>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</si>
  <si>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</si>
  <si>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</si>
  <si>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</si>
  <si>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</si>
  <si>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</si>
  <si>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</si>
  <si>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</si>
  <si>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</si>
  <si>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</si>
  <si>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</si>
  <si>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</si>
  <si>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</si>
  <si>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</si>
  <si>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</si>
  <si>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</si>
  <si>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</si>
  <si>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</si>
  <si>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</si>
  <si>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</si>
  <si>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</si>
  <si>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</si>
  <si>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</si>
  <si>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</si>
  <si>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</si>
  <si>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</si>
  <si>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</si>
  <si>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</si>
  <si>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</si>
  <si>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</si>
  <si>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</si>
  <si>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</si>
  <si>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</si>
  <si>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</si>
  <si>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</si>
  <si>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</si>
  <si>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</si>
  <si>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</si>
  <si>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</si>
  <si>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</si>
  <si>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</si>
  <si>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</si>
  <si>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</si>
  <si>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</si>
  <si>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</si>
  <si>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</si>
  <si>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</si>
  <si>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</si>
  <si>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</si>
  <si>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</si>
  <si>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</si>
  <si>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</si>
  <si>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</si>
  <si>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</si>
  <si>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</si>
  <si>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</si>
  <si>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</si>
  <si>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</si>
  <si>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</si>
  <si>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</si>
  <si>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</si>
  <si>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</si>
  <si>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</si>
  <si>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</si>
  <si>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</si>
  <si>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</si>
  <si>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</si>
  <si>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</si>
  <si>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</si>
  <si>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</si>
  <si>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</si>
  <si>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</si>
  <si>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</si>
  <si>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</si>
  <si>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</si>
  <si>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</si>
  <si>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</si>
  <si>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</si>
  <si>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</si>
  <si>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</si>
  <si>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</si>
  <si>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</si>
  <si>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</si>
  <si>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</si>
  <si>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</si>
  <si>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</si>
  <si>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</si>
  <si>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</si>
  <si>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</si>
  <si>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</si>
  <si>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</si>
  <si>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</si>
  <si>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</si>
  <si>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</si>
  <si>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</si>
  <si>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</si>
  <si>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</si>
  <si>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</si>
  <si>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</si>
  <si>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</si>
  <si>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</si>
  <si>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</si>
  <si>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</si>
  <si>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</si>
  <si>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</si>
  <si>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</si>
  <si>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</si>
  <si>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</si>
  <si>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</si>
  <si>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</si>
  <si>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</si>
  <si>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</si>
  <si>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</si>
  <si>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</si>
  <si>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</si>
  <si>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</si>
  <si>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</si>
  <si>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</si>
  <si>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</si>
  <si>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</si>
  <si>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</si>
  <si>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</si>
  <si>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</si>
  <si>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</si>
  <si>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</si>
  <si>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</si>
  <si>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</si>
  <si>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</si>
  <si>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</si>
  <si>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</si>
  <si>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</si>
  <si>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</si>
  <si>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</si>
  <si>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</si>
  <si>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</si>
  <si>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</si>
  <si>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</si>
  <si>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</si>
  <si>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</si>
  <si>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</si>
  <si>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</si>
  <si>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</si>
  <si>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</si>
  <si>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</si>
  <si>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</si>
  <si>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</si>
  <si>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</si>
  <si>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</si>
  <si>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</si>
  <si>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</si>
  <si>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</si>
  <si>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</si>
  <si>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</si>
  <si>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</si>
  <si>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</si>
  <si>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</si>
  <si>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</si>
  <si>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</si>
  <si>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</si>
  <si>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</si>
  <si>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</si>
  <si>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</si>
  <si>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</si>
  <si>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</si>
  <si>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</si>
  <si>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</si>
  <si>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</si>
  <si>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</si>
  <si>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</si>
  <si>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</si>
  <si>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</si>
  <si>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</si>
  <si>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</si>
  <si>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</si>
  <si>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</si>
  <si>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</si>
  <si>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</si>
  <si>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</si>
  <si>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</si>
  <si>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</si>
  <si>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</si>
  <si>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</si>
  <si>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</si>
  <si>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</si>
  <si>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</si>
  <si>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</si>
  <si>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</si>
  <si>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</si>
  <si>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</si>
  <si>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</si>
  <si>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</si>
  <si>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</si>
  <si>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</si>
  <si>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</si>
  <si>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</si>
  <si>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</si>
  <si>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</si>
  <si>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</si>
  <si>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</si>
  <si>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</si>
  <si>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</si>
  <si>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</si>
  <si>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</si>
  <si>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</si>
  <si>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</si>
  <si>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</si>
  <si>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</si>
  <si>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</si>
  <si>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</si>
  <si>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</si>
  <si>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</si>
  <si>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</si>
  <si>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</si>
  <si>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</si>
  <si>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</si>
  <si>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</si>
  <si>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</si>
  <si>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</si>
  <si>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</si>
  <si>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</si>
  <si>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</si>
  <si>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</si>
  <si>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</si>
  <si>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</si>
  <si>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</si>
  <si>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</si>
  <si>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</si>
  <si>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</si>
  <si>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</si>
  <si>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</si>
  <si>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</si>
  <si>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</si>
  <si>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</si>
  <si>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</si>
  <si>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</si>
  <si>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</si>
  <si>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</si>
  <si>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</si>
  <si>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</si>
  <si>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</si>
  <si>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</si>
  <si>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</si>
  <si>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</si>
  <si>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</si>
  <si>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</si>
  <si>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</si>
  <si>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</si>
  <si>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</si>
  <si>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</si>
  <si>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</si>
  <si>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</si>
  <si>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</si>
  <si>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</si>
  <si>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</si>
  <si>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</si>
  <si>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</si>
  <si>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</si>
  <si>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</si>
  <si>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</si>
  <si>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</si>
  <si>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</si>
  <si>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</si>
  <si>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</si>
  <si>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</si>
  <si>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</si>
  <si>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</si>
  <si>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</si>
  <si>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</si>
  <si>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</si>
  <si>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</si>
  <si>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</si>
  <si>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</si>
  <si>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</si>
  <si>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</si>
  <si>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</si>
  <si>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</si>
  <si>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</si>
  <si>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</si>
  <si>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</si>
  <si>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</si>
  <si>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</si>
  <si>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</si>
  <si>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</si>
  <si>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</si>
  <si>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</si>
  <si>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</si>
  <si>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</si>
  <si>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</si>
  <si>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</si>
  <si>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</si>
  <si>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</si>
  <si>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</si>
  <si>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</si>
  <si>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</si>
  <si>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</si>
  <si>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</si>
  <si>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</si>
  <si>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</si>
  <si>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</si>
  <si>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</si>
  <si>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</si>
  <si>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</si>
  <si>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</si>
  <si>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</si>
  <si>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</si>
  <si>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</si>
  <si>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</si>
  <si>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</si>
  <si>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</si>
  <si>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</si>
  <si>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</si>
  <si>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</si>
  <si>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</si>
  <si>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</si>
  <si>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</si>
  <si>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</si>
  <si>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</si>
  <si>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</si>
  <si>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</si>
  <si>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</si>
  <si>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</si>
  <si>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</si>
  <si>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</si>
  <si>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</si>
  <si>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</si>
  <si>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</si>
  <si>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</si>
  <si>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</si>
  <si>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</si>
  <si>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</si>
  <si>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</si>
  <si>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</si>
  <si>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</si>
  <si>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</si>
  <si>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</si>
  <si>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</si>
  <si>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</si>
  <si>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</si>
  <si>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</si>
  <si>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</si>
  <si>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</si>
  <si>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</si>
  <si>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</si>
  <si>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</si>
  <si>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</si>
  <si>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</si>
  <si>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</si>
  <si>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</si>
  <si>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</si>
  <si>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</si>
  <si>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</si>
  <si>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</si>
  <si>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</si>
  <si>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</si>
  <si>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</si>
  <si>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</si>
  <si>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</si>
  <si>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</si>
  <si>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</si>
  <si>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</si>
  <si>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</si>
  <si>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</si>
  <si>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</si>
  <si>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</si>
  <si>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</si>
  <si>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</si>
  <si>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</si>
  <si>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</si>
  <si>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</si>
  <si>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</si>
  <si>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</si>
  <si>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</si>
  <si>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</si>
  <si>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</si>
  <si>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</si>
  <si>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</si>
  <si>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</si>
  <si>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</si>
  <si>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</si>
  <si>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</si>
  <si>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</si>
  <si>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</si>
  <si>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</si>
  <si>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</si>
  <si>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</si>
  <si>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</si>
  <si>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</si>
  <si>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</si>
  <si>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</si>
  <si>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</si>
  <si>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</si>
  <si>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</si>
  <si>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</si>
  <si>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</si>
  <si>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</si>
  <si>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</si>
  <si>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</si>
  <si>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</si>
  <si>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</si>
  <si>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</si>
  <si>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</si>
  <si>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</si>
  <si>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</si>
  <si>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</si>
  <si>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</si>
  <si>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</si>
  <si>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</si>
  <si>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</si>
  <si>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</si>
  <si>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</si>
  <si>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</si>
  <si>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</si>
  <si>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</si>
  <si>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</si>
  <si>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</si>
  <si>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</si>
  <si>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</si>
  <si>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</si>
  <si>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</si>
  <si>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</si>
  <si>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</si>
  <si>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</si>
  <si>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</si>
  <si>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</si>
  <si>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</si>
  <si>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</si>
  <si>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</si>
  <si>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</si>
  <si>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</si>
  <si>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</si>
  <si>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</si>
  <si>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</si>
  <si>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</si>
  <si>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</si>
  <si>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</si>
  <si>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</si>
  <si>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</si>
  <si>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</si>
  <si>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</si>
  <si>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</si>
  <si>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</si>
  <si>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</si>
  <si>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</si>
  <si>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</si>
  <si>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</si>
  <si>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</si>
  <si>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</si>
  <si>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</si>
  <si>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</si>
  <si>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</si>
  <si>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</si>
  <si>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</si>
  <si>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</si>
  <si>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</si>
  <si>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</si>
  <si>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</si>
  <si>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</si>
  <si>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</si>
  <si>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</si>
  <si>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</si>
  <si>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</si>
  <si>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</si>
  <si>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</si>
  <si>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</si>
  <si>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</si>
  <si>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</si>
  <si>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</si>
  <si>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</si>
  <si>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</si>
  <si>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</si>
  <si>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</si>
  <si>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</si>
  <si>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</si>
  <si>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</si>
  <si>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</si>
  <si>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</si>
  <si>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</si>
  <si>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</si>
  <si>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</si>
  <si>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</si>
  <si>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</si>
  <si>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</si>
  <si>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</si>
  <si>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</si>
  <si>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</si>
  <si>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</si>
  <si>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</si>
  <si>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</si>
  <si>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</si>
  <si>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</si>
  <si>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</si>
  <si>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</si>
  <si>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</si>
  <si>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</si>
  <si>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</si>
  <si>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</si>
  <si>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</si>
  <si>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</si>
  <si>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</si>
  <si>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</si>
  <si>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</si>
  <si>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</si>
  <si>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</si>
  <si>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</si>
  <si>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</si>
  <si>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</si>
  <si>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</si>
  <si>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</si>
  <si>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</si>
  <si>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</si>
  <si>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</si>
  <si>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</si>
  <si>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</si>
  <si>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</si>
  <si>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</si>
  <si>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</si>
  <si>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</si>
  <si>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</si>
  <si>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</si>
  <si>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</si>
  <si>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</si>
  <si>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</si>
  <si>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</si>
  <si>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</si>
  <si>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</si>
  <si>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</si>
  <si>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</si>
  <si>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</si>
  <si>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</si>
  <si>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</si>
  <si>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</si>
  <si>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</si>
  <si>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</si>
  <si>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</si>
  <si>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</si>
  <si>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</si>
  <si>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</si>
  <si>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</si>
  <si>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</si>
  <si>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</si>
  <si>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</si>
  <si>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</si>
  <si>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</si>
  <si>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</si>
  <si>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</si>
  <si>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</si>
  <si>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</si>
  <si>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</si>
  <si>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</si>
  <si>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</si>
  <si>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</si>
  <si>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</si>
  <si>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</si>
  <si>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</si>
  <si>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</si>
  <si>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</si>
  <si>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</si>
  <si>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</si>
  <si>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</si>
  <si>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</si>
  <si>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</si>
  <si>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</si>
  <si>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</si>
  <si>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</si>
  <si>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</si>
  <si>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</si>
  <si>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</si>
  <si>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</si>
  <si>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</si>
  <si>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</si>
  <si>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</si>
  <si>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</si>
  <si>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</si>
  <si>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</si>
  <si>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</si>
  <si>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</si>
  <si>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</si>
  <si>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</si>
  <si>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</si>
  <si>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</si>
  <si>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</si>
  <si>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</si>
  <si>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</si>
  <si>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</si>
  <si>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</si>
  <si>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</si>
  <si>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</si>
  <si>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</si>
  <si>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</si>
  <si>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</si>
  <si>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</si>
  <si>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</si>
  <si>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</si>
  <si>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</si>
  <si>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</si>
  <si>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</si>
  <si>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</si>
  <si>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</si>
  <si>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</si>
  <si>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</si>
  <si>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</si>
  <si>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</si>
  <si>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</si>
  <si>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</si>
  <si>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</si>
  <si>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</si>
  <si>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</si>
  <si>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</si>
  <si>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</si>
  <si>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</si>
  <si>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</si>
  <si>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</si>
  <si>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</si>
  <si>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</si>
  <si>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</si>
  <si>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</si>
  <si>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</si>
  <si>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</si>
  <si>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</si>
  <si>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</si>
  <si>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</si>
  <si>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</si>
  <si>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</si>
  <si>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</si>
  <si>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</si>
  <si>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</si>
  <si>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</si>
  <si>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</si>
  <si>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</si>
  <si>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</si>
  <si>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</si>
  <si>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</si>
  <si>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</si>
  <si>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</si>
  <si>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</si>
  <si>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</si>
  <si>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</si>
  <si>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</si>
  <si>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</si>
  <si>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</si>
  <si>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</si>
  <si>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</si>
  <si>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</si>
  <si>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</si>
  <si>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</si>
  <si>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</si>
  <si>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</si>
  <si>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</si>
  <si>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</si>
  <si>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</si>
  <si>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</si>
  <si>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</si>
  <si>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</si>
  <si>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</si>
  <si>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</si>
  <si>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</si>
  <si>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</si>
  <si>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</si>
  <si>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</si>
  <si>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</si>
  <si>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</si>
  <si>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</si>
  <si>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</si>
  <si>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</si>
  <si>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</si>
  <si>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</si>
  <si>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</si>
  <si>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</si>
  <si>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</si>
  <si>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</si>
  <si>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</si>
  <si>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</si>
  <si>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</si>
  <si>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</si>
  <si>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</si>
  <si>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</si>
  <si>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</si>
  <si>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</si>
  <si>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</si>
  <si>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</si>
  <si>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</si>
  <si>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</si>
  <si>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</si>
  <si>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</si>
  <si>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</si>
  <si>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</si>
  <si>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</si>
  <si>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</si>
  <si>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</si>
  <si>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</si>
  <si>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</si>
  <si>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</si>
  <si>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</si>
  <si>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</si>
  <si>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</si>
  <si>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</si>
  <si>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</si>
  <si>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</si>
  <si>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</si>
  <si>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</si>
  <si>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</si>
  <si>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</si>
  <si>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</si>
  <si>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</si>
  <si>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</si>
  <si>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</si>
  <si>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</si>
  <si>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</si>
  <si>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</si>
  <si>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</si>
  <si>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</si>
  <si>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</si>
  <si>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</si>
  <si>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</si>
  <si>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</si>
  <si>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</si>
  <si>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</si>
  <si>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</si>
  <si>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</si>
  <si>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</si>
  <si>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</si>
  <si>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</si>
  <si>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</si>
  <si>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</si>
  <si>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</si>
  <si>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</si>
  <si>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</si>
  <si>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</si>
  <si>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</si>
  <si>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</si>
  <si>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</si>
  <si>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</si>
  <si>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</si>
  <si>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</si>
  <si>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</si>
  <si>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</si>
  <si>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</si>
  <si>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</si>
  <si>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</si>
  <si>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</si>
  <si>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</si>
  <si>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</si>
  <si>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</si>
  <si>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</si>
  <si>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</si>
  <si>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</si>
  <si>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</si>
  <si>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</si>
  <si>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</si>
  <si>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</si>
  <si>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</si>
  <si>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</si>
  <si>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</si>
  <si>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</si>
  <si>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</si>
  <si>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</si>
  <si>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</si>
  <si>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</si>
  <si>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</si>
  <si>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</si>
  <si>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</si>
  <si>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</si>
  <si>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</si>
  <si>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</si>
  <si>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</si>
  <si>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</si>
  <si>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</si>
  <si>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</si>
  <si>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</si>
  <si>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</si>
  <si>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</si>
  <si>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</si>
  <si>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</si>
  <si>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</si>
  <si>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</si>
  <si>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</si>
  <si>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</si>
  <si>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</si>
  <si>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</si>
  <si>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</si>
  <si>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</si>
  <si>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</si>
  <si>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</si>
  <si>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</si>
  <si>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</si>
  <si>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</si>
  <si>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</si>
  <si>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</si>
  <si>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</si>
  <si>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</si>
  <si>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</si>
  <si>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</si>
  <si>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</si>
  <si>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</si>
  <si>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</si>
  <si>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</si>
  <si>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</si>
  <si>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</si>
  <si>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</si>
  <si>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</si>
  <si>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</si>
  <si>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</si>
  <si>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</si>
  <si>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</si>
  <si>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</si>
  <si>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</si>
  <si>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</si>
  <si>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</si>
  <si>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</si>
  <si>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</si>
  <si>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</si>
  <si>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</si>
  <si>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</si>
  <si>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</si>
  <si>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</si>
  <si>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</si>
  <si>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</si>
  <si>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</si>
  <si>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</si>
  <si>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</si>
  <si>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</si>
  <si>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</si>
  <si>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</si>
  <si>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</si>
  <si>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</si>
  <si>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</si>
  <si>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</si>
  <si>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</si>
  <si>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</si>
  <si>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</si>
  <si>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</si>
  <si>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</si>
  <si>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</si>
  <si>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</si>
  <si>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</si>
  <si>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</si>
  <si>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</si>
  <si>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</si>
  <si>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</si>
  <si>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</si>
  <si>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</si>
  <si>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</si>
  <si>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</si>
  <si>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</si>
  <si>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</si>
  <si>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</si>
  <si>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</si>
  <si>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</si>
  <si>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</si>
  <si>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</si>
  <si>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</si>
  <si>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</si>
  <si>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</si>
  <si>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</si>
  <si>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</si>
  <si>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</si>
  <si>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</si>
  <si>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</si>
  <si>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</si>
  <si>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</si>
  <si>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</si>
  <si>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</si>
  <si>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</si>
  <si>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</si>
  <si>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</si>
  <si>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</si>
  <si>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</si>
  <si>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</si>
  <si>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</si>
  <si>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</si>
  <si>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</si>
  <si>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</si>
  <si>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</si>
  <si>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</si>
  <si>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</si>
  <si>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</si>
  <si>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</si>
  <si>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</si>
  <si>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</si>
  <si>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</si>
  <si>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</si>
  <si>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</si>
  <si>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</si>
  <si>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</si>
  <si>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</si>
  <si>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</si>
  <si>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</si>
  <si>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</si>
  <si>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</si>
  <si>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</si>
  <si>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</si>
  <si>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</si>
  <si>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</si>
  <si>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</si>
  <si>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</si>
  <si>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</si>
  <si>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</si>
  <si>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</si>
  <si>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</si>
  <si>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</si>
  <si>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</si>
  <si>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</si>
  <si>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</si>
  <si>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</si>
  <si>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</si>
  <si>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</si>
  <si>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</si>
  <si>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</si>
  <si>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</si>
  <si>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</si>
  <si>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</si>
  <si>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</si>
  <si>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</si>
  <si>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</si>
  <si>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</si>
  <si>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</si>
  <si>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</si>
  <si>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</si>
  <si>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</si>
  <si>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</si>
  <si>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</si>
  <si>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</si>
  <si>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</si>
  <si>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</si>
  <si>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</si>
  <si>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</si>
  <si>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</si>
  <si>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</si>
  <si>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</si>
  <si>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</si>
  <si>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</si>
  <si>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</si>
  <si>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</si>
  <si>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</si>
  <si>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</si>
  <si>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</si>
  <si>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</si>
  <si>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</si>
  <si>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</si>
  <si>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</si>
  <si>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</si>
  <si>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</si>
  <si>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</si>
  <si>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</si>
  <si>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</si>
  <si>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</si>
  <si>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</si>
  <si>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</si>
  <si>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</si>
  <si>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</si>
  <si>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</si>
  <si>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</si>
  <si>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</si>
  <si>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</si>
  <si>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</si>
  <si>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</si>
  <si>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</si>
  <si>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</si>
  <si>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</si>
  <si>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</si>
  <si>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</si>
  <si>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</si>
  <si>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</si>
  <si>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</si>
  <si>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</si>
  <si>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</si>
  <si>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</si>
  <si>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</si>
  <si>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</si>
  <si>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</si>
  <si>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</si>
  <si>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</si>
  <si>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</si>
  <si>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</si>
  <si>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</si>
  <si>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</si>
  <si>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</si>
  <si>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</si>
  <si>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</si>
  <si>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</si>
  <si>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</si>
  <si>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</si>
  <si>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</si>
  <si>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</si>
  <si>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</si>
  <si>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</si>
  <si>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</si>
  <si>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</si>
  <si>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</si>
  <si>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</si>
  <si>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</si>
  <si>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</si>
  <si>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</si>
  <si>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</si>
  <si>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</si>
  <si>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</si>
  <si>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</si>
  <si>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</si>
  <si>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</si>
  <si>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</si>
  <si>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</si>
  <si>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</si>
  <si>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</si>
  <si>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</si>
  <si>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</si>
  <si>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</si>
  <si>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</si>
  <si>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</si>
  <si>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</si>
  <si>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</si>
  <si>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</si>
  <si>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</si>
  <si>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</si>
  <si>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</si>
  <si>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</si>
  <si>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</si>
  <si>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</si>
  <si>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</si>
  <si>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</si>
  <si>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</si>
  <si>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</si>
  <si>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</si>
  <si>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</si>
  <si>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</si>
  <si>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</si>
  <si>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</si>
  <si>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</si>
  <si>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</si>
  <si>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</si>
  <si>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</si>
  <si>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</si>
  <si>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</si>
  <si>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</si>
  <si>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</si>
  <si>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</si>
  <si>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</si>
  <si>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</si>
  <si>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</si>
  <si>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</si>
  <si>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</si>
  <si>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</si>
  <si>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</si>
  <si>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</si>
  <si>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</si>
  <si>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</si>
  <si>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</si>
  <si>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</si>
  <si>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</si>
  <si>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</si>
  <si>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</si>
  <si>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</si>
  <si>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</si>
  <si>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</si>
  <si>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</si>
  <si>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</si>
  <si>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</si>
  <si>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</si>
  <si>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</si>
  <si>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</si>
  <si>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</si>
  <si>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</si>
  <si>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</si>
  <si>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</si>
  <si>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</si>
  <si>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</si>
  <si>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</si>
  <si>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</si>
  <si>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</si>
  <si>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</si>
  <si>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</si>
  <si>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</si>
  <si>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</si>
  <si>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</si>
  <si>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</si>
  <si>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</si>
  <si>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</si>
  <si>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</si>
  <si>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</si>
  <si>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</si>
  <si>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</si>
  <si>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</si>
  <si>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</si>
  <si>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</si>
  <si>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</si>
  <si>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</si>
  <si>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</si>
  <si>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</si>
  <si>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</si>
  <si>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</si>
  <si>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</si>
  <si>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</si>
  <si>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</si>
  <si>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</si>
  <si>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</si>
  <si>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</si>
  <si>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</si>
  <si>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</si>
  <si>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</si>
  <si>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</si>
  <si>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</si>
  <si>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</si>
  <si>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</si>
  <si>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</si>
  <si>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</si>
  <si>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</si>
  <si>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</si>
  <si>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</si>
  <si>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</si>
  <si>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</si>
  <si>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</si>
  <si>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</si>
  <si>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</si>
  <si>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</si>
  <si>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</si>
  <si>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</si>
  <si>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</si>
  <si>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</si>
  <si>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</si>
  <si>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</si>
  <si>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</si>
  <si>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</si>
  <si>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</si>
  <si>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</si>
  <si>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</si>
  <si>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</si>
  <si>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</si>
  <si>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</si>
  <si>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</si>
  <si>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</si>
  <si>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</si>
  <si>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</si>
  <si>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</si>
  <si>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</si>
  <si>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</si>
  <si>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</si>
  <si>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</si>
  <si>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</si>
  <si>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</si>
  <si>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</si>
  <si>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</si>
  <si>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</si>
  <si>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</si>
  <si>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</si>
  <si>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</si>
  <si>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</si>
  <si>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</si>
  <si>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</si>
  <si>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</si>
  <si>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</si>
  <si>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</si>
  <si>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</si>
  <si>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</si>
  <si>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</si>
  <si>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</si>
  <si>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</si>
  <si>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</si>
  <si>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</si>
  <si>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</si>
  <si>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</si>
  <si>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</si>
  <si>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</si>
  <si>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</si>
  <si>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</si>
  <si>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</si>
  <si>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</si>
  <si>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</si>
  <si>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</si>
  <si>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</si>
  <si>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</si>
  <si>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</si>
  <si>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</si>
  <si>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</si>
  <si>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</si>
  <si>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</si>
  <si>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</si>
  <si>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</si>
  <si>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</si>
  <si>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</si>
  <si>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</si>
  <si>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</si>
  <si>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</si>
  <si>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</si>
  <si>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</si>
  <si>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</si>
  <si>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</si>
  <si>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</si>
  <si>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</si>
  <si>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</si>
  <si>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</si>
  <si>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</si>
  <si>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</si>
  <si>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</si>
  <si>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</si>
  <si>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</si>
  <si>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</si>
  <si>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</si>
  <si>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</si>
  <si>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</si>
  <si>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</si>
  <si>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</si>
  <si>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</si>
  <si>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</si>
  <si>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</si>
  <si>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</si>
  <si>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</si>
  <si>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</si>
  <si>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</si>
  <si>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</si>
  <si>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</si>
  <si>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</si>
  <si>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</si>
  <si>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</si>
  <si>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</si>
  <si>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</si>
  <si>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</si>
  <si>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</si>
  <si>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</si>
  <si>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</si>
  <si>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</si>
  <si>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</si>
  <si>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</si>
  <si>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</si>
  <si>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</si>
  <si>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</si>
  <si>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</si>
  <si>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</si>
  <si>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</si>
  <si>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</si>
  <si>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</si>
  <si>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</si>
  <si>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</si>
  <si>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</si>
  <si>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</si>
  <si>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</si>
  <si>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</si>
  <si>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</si>
  <si>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</si>
  <si>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</si>
  <si>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</si>
  <si>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</si>
  <si>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</si>
  <si>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</si>
  <si>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</si>
  <si>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</si>
  <si>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</si>
  <si>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</si>
  <si>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</si>
  <si>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</si>
  <si>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</si>
  <si>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</si>
  <si>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</si>
  <si>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</si>
  <si>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</si>
  <si>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</si>
  <si>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</si>
  <si>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</si>
  <si>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</si>
  <si>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</si>
  <si>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</si>
  <si>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</si>
  <si>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</si>
  <si>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</si>
  <si>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</si>
  <si>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</si>
  <si>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</si>
  <si>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</si>
  <si>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</si>
  <si>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</si>
  <si>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</si>
  <si>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</si>
  <si>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</si>
  <si>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</si>
  <si>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</si>
  <si>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</si>
  <si>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</si>
  <si>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</si>
  <si>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</si>
  <si>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</si>
  <si>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</si>
  <si>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</si>
  <si>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</si>
  <si>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</si>
  <si>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</si>
  <si>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</si>
  <si>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</si>
  <si>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</si>
  <si>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</si>
  <si>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</si>
  <si>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</si>
  <si>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</si>
  <si>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</si>
  <si>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</si>
  <si>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</si>
  <si>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</si>
  <si>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</si>
  <si>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</si>
  <si>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</si>
  <si>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</si>
  <si>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</si>
  <si>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</si>
  <si>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</si>
  <si>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</si>
  <si>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</si>
  <si>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</si>
  <si>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</si>
  <si>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</si>
  <si>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</si>
  <si>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</si>
  <si>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</si>
  <si>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</si>
  <si>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</si>
  <si>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</si>
  <si>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</si>
  <si>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</si>
  <si>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</si>
  <si>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</si>
  <si>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</si>
  <si>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</si>
  <si>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</si>
  <si>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</si>
  <si>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</si>
  <si>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</si>
  <si>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</si>
  <si>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</si>
  <si>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</si>
  <si>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</si>
  <si>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</si>
  <si>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</si>
  <si>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</si>
  <si>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</si>
  <si>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</si>
  <si>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</si>
  <si>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</si>
  <si>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</si>
  <si>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</si>
  <si>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</si>
  <si>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</si>
  <si>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</si>
  <si>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</si>
  <si>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</si>
  <si>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</si>
  <si>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</si>
  <si>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</si>
  <si>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</si>
  <si>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</si>
  <si>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</si>
  <si>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</si>
  <si>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</si>
  <si>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</si>
  <si>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</si>
  <si>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</si>
  <si>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</si>
  <si>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</si>
  <si>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</si>
  <si>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</si>
  <si>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</si>
  <si>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</si>
  <si>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</si>
  <si>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</si>
  <si>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</si>
  <si>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</si>
  <si>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</si>
  <si>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</si>
  <si>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</si>
  <si>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</si>
  <si>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</si>
  <si>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</si>
  <si>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</si>
  <si>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</si>
  <si>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</si>
  <si>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</si>
  <si>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</si>
  <si>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</si>
  <si>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</si>
  <si>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</si>
  <si>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</si>
  <si>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</si>
  <si>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</si>
  <si>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</si>
  <si>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</si>
  <si>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</si>
  <si>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</si>
  <si>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</si>
  <si>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</si>
  <si>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</si>
  <si>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</si>
  <si>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</si>
  <si>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</si>
  <si>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</si>
  <si>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</si>
  <si>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</si>
  <si>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</si>
  <si>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</si>
  <si>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</si>
  <si>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</si>
  <si>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</si>
  <si>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</si>
  <si>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</si>
  <si>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</si>
  <si>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</si>
  <si>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</si>
  <si>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</si>
  <si>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</si>
  <si>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</si>
  <si>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</si>
  <si>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</si>
  <si>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</si>
  <si>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</si>
  <si>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</si>
  <si>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</si>
  <si>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</si>
  <si>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</si>
  <si>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</si>
  <si>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</si>
  <si>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</si>
  <si>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</si>
  <si>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</si>
  <si>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</si>
  <si>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</si>
  <si>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</si>
  <si>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</si>
  <si>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</si>
  <si>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</si>
  <si>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</si>
  <si>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</si>
  <si>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</si>
  <si>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</si>
  <si>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</si>
  <si>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</si>
  <si>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</si>
  <si>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</si>
  <si>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</si>
  <si>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</si>
  <si>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</si>
  <si>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</si>
  <si>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</si>
  <si>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</si>
  <si>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</si>
  <si>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</si>
  <si>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</si>
  <si>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</si>
  <si>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</si>
  <si>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</si>
  <si>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</si>
  <si>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</si>
  <si>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</si>
  <si>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</si>
  <si>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</si>
  <si>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</si>
  <si>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</si>
  <si>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</si>
  <si>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</si>
  <si>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</si>
  <si>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</si>
  <si>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</si>
  <si>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</si>
  <si>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</si>
  <si>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</si>
  <si>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</si>
  <si>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</si>
  <si>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</si>
  <si>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</si>
  <si>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</si>
  <si>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</si>
  <si>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</si>
  <si>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</si>
  <si>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</si>
  <si>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</si>
  <si>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</si>
  <si>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</si>
  <si>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</si>
  <si>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</si>
  <si>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</si>
  <si>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</si>
  <si>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</si>
  <si>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</si>
  <si>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</si>
  <si>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</si>
  <si>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</si>
  <si>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</si>
  <si>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</si>
  <si>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</si>
  <si>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</si>
  <si>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</si>
  <si>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</si>
  <si>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</si>
  <si>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</si>
  <si>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</si>
  <si>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</si>
  <si>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</si>
  <si>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</si>
  <si>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</si>
  <si>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</si>
  <si>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</si>
  <si>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</si>
  <si>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</si>
  <si>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</si>
  <si>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</si>
  <si>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</si>
  <si>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</si>
  <si>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</si>
  <si>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</si>
  <si>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</si>
  <si>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</si>
  <si>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</si>
  <si>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</si>
  <si>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</si>
  <si>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</si>
  <si>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</si>
  <si>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</si>
  <si>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</si>
  <si>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</si>
  <si>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</si>
  <si>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</si>
  <si>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</si>
  <si>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</si>
  <si>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</si>
  <si>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</si>
  <si>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</si>
  <si>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</si>
  <si>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</si>
  <si>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</si>
  <si>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</si>
  <si>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</si>
  <si>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</si>
  <si>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</si>
  <si>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</si>
  <si>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</si>
  <si>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</si>
  <si>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</si>
  <si>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</si>
  <si>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</si>
  <si>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</si>
  <si>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</si>
  <si>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</si>
  <si>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</si>
  <si>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</si>
  <si>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</si>
  <si>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</si>
  <si>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</si>
  <si>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</si>
  <si>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</si>
  <si>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</si>
  <si>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</si>
  <si>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</si>
  <si>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</si>
  <si>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</si>
  <si>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</si>
  <si>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</si>
  <si>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</si>
  <si>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</si>
  <si>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</si>
  <si>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</si>
  <si>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</si>
  <si>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</si>
  <si>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</si>
  <si>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</si>
  <si>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</si>
  <si>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</si>
  <si>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</si>
  <si>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</si>
  <si>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</si>
  <si>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</si>
  <si>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</si>
  <si>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</si>
  <si>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</si>
  <si>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</si>
  <si>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</si>
  <si>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</si>
  <si>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</si>
  <si>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</si>
  <si>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</si>
  <si>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</si>
  <si>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</si>
  <si>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</si>
  <si>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</si>
  <si>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</si>
  <si>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</si>
  <si>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</si>
  <si>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</si>
  <si>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</si>
  <si>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</si>
  <si>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</si>
  <si>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</si>
  <si>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</si>
  <si>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</si>
  <si>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</si>
  <si>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</si>
  <si>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</si>
  <si>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</si>
  <si>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</si>
  <si>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</si>
  <si>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</si>
  <si>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</si>
  <si>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</si>
  <si>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</si>
  <si>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</si>
  <si>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</si>
  <si>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</si>
  <si>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</si>
  <si>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</si>
  <si>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</si>
  <si>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</si>
  <si>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</si>
  <si>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</si>
  <si>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</si>
  <si>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</si>
  <si>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</si>
  <si>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</si>
  <si>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</si>
  <si>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</si>
  <si>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</si>
  <si>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</si>
  <si>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</si>
  <si>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</si>
  <si>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</si>
  <si>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</si>
  <si>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</si>
  <si>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</si>
  <si>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</si>
  <si>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</si>
  <si>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</si>
  <si>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</si>
  <si>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</si>
  <si>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</si>
  <si>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</si>
  <si>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</si>
  <si>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</si>
  <si>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</si>
  <si>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</si>
  <si>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</si>
  <si>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</si>
  <si>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</si>
  <si>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</si>
  <si>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</si>
  <si>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</si>
  <si>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</si>
  <si>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</si>
  <si>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</si>
  <si>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</si>
  <si>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</si>
  <si>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</si>
  <si>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</si>
  <si>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</si>
  <si>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</si>
  <si>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</si>
  <si>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</si>
  <si>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</si>
  <si>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</si>
  <si>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</si>
  <si>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</si>
  <si>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</si>
  <si>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</si>
  <si>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</si>
  <si>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</si>
  <si>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</si>
  <si>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</si>
  <si>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</si>
  <si>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</si>
  <si>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</si>
  <si>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</si>
  <si>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</si>
  <si>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</si>
  <si>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</si>
  <si>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</si>
  <si>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</si>
  <si>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</si>
  <si>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</si>
  <si>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</si>
  <si>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</si>
  <si>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</si>
  <si>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</si>
  <si>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</si>
  <si>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</si>
  <si>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</si>
  <si>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</si>
  <si>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</si>
  <si>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</si>
  <si>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</si>
  <si>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</si>
  <si>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</si>
  <si>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</si>
  <si>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</si>
  <si>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</si>
  <si>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</si>
  <si>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</si>
  <si>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</si>
  <si>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</si>
  <si>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</si>
  <si>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</si>
  <si>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</si>
  <si>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</si>
  <si>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</si>
  <si>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</si>
  <si>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</si>
  <si>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</si>
  <si>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</si>
  <si>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</si>
  <si>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</si>
  <si>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</si>
  <si>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</si>
  <si>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</si>
  <si>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</si>
  <si>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</si>
  <si>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</si>
  <si>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</si>
  <si>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</si>
  <si>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</si>
  <si>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</si>
  <si>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</si>
  <si>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</si>
  <si>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</si>
  <si>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</si>
  <si>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</si>
  <si>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</si>
  <si>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</si>
  <si>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</si>
  <si>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</si>
  <si>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</si>
  <si>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</si>
  <si>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</si>
  <si>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</si>
  <si>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</si>
  <si>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</si>
  <si>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</si>
  <si>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</si>
  <si>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</si>
  <si>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</si>
  <si>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</si>
  <si>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</si>
  <si>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</si>
  <si>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</si>
  <si>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</si>
  <si>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</si>
  <si>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</si>
  <si>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</si>
  <si>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</si>
  <si>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</si>
  <si>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</si>
  <si>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</si>
  <si>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</si>
  <si>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</si>
  <si>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</si>
  <si>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</si>
  <si>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</si>
  <si>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</si>
  <si>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</si>
  <si>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</si>
  <si>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</si>
  <si>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</si>
  <si>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</si>
  <si>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</si>
  <si>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</si>
  <si>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</si>
  <si>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</si>
  <si>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</si>
  <si>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</si>
  <si>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</si>
  <si>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</si>
  <si>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</si>
  <si>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</si>
  <si>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</si>
  <si>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</si>
  <si>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</si>
  <si>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</si>
  <si>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</si>
  <si>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</si>
  <si>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</si>
  <si>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</si>
  <si>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</si>
  <si>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</si>
  <si>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</si>
  <si>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</si>
  <si>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</si>
  <si>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</si>
  <si>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</si>
  <si>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</si>
  <si>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</si>
  <si>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</si>
  <si>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</si>
  <si>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</si>
  <si>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</si>
  <si>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</si>
  <si>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</si>
  <si>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</si>
  <si>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</si>
  <si>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</si>
  <si>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</si>
  <si>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</si>
  <si>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</si>
  <si>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</si>
  <si>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</si>
  <si>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</si>
  <si>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</si>
  <si>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</si>
  <si>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</si>
  <si>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</si>
  <si>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</si>
  <si>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</si>
  <si>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</si>
  <si>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</si>
  <si>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</si>
  <si>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</si>
  <si>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</si>
  <si>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</si>
  <si>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</si>
  <si>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</si>
  <si>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</si>
  <si>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</si>
  <si>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</si>
  <si>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</si>
  <si>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</si>
  <si>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</si>
  <si>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</si>
  <si>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</si>
  <si>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</si>
  <si>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</si>
  <si>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</si>
  <si>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</si>
  <si>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</si>
  <si>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</si>
  <si>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</si>
  <si>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</si>
  <si>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</si>
  <si>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</si>
  <si>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</si>
  <si>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</si>
  <si>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</si>
  <si>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</si>
  <si>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</si>
  <si>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</si>
  <si>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</si>
  <si>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</si>
  <si>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</si>
  <si>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</si>
  <si>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</si>
  <si>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</si>
  <si>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</si>
  <si>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</si>
  <si>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</si>
  <si>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</si>
  <si>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</si>
  <si>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</si>
  <si>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</si>
  <si>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</si>
  <si>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</si>
  <si>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</si>
  <si>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</si>
  <si>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</si>
  <si>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</si>
  <si>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</si>
  <si>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</si>
  <si>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</si>
  <si>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</si>
  <si>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</si>
  <si>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</si>
  <si>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</si>
  <si>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</si>
  <si>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</si>
  <si>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</si>
  <si>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</si>
  <si>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</si>
  <si>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</si>
  <si>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</si>
  <si>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</si>
  <si>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</si>
  <si>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</si>
  <si>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</si>
  <si>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</si>
  <si>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</si>
  <si>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</si>
  <si>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</si>
  <si>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</si>
  <si>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</si>
  <si>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</si>
  <si>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</si>
  <si>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</si>
  <si>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</si>
  <si>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</si>
  <si>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</si>
  <si>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</si>
  <si>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</si>
  <si>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</si>
  <si>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</si>
  <si>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</si>
  <si>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</si>
  <si>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</si>
  <si>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</si>
  <si>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</si>
  <si>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</si>
  <si>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</si>
  <si>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</si>
  <si>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</si>
  <si>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</si>
  <si>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</si>
  <si>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</si>
  <si>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</si>
  <si>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</si>
  <si>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</si>
  <si>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</si>
  <si>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</si>
  <si>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</si>
  <si>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</si>
  <si>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</si>
  <si>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</si>
  <si>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</si>
  <si>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</si>
  <si>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</si>
  <si>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</si>
  <si>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</si>
  <si>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</si>
  <si>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</si>
  <si>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</si>
  <si>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</si>
  <si>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</si>
  <si>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</si>
  <si>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</si>
  <si>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</si>
  <si>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</si>
  <si>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</si>
  <si>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</si>
  <si>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</si>
  <si>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</si>
  <si>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</si>
  <si>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</si>
  <si>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</si>
  <si>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</si>
  <si>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</si>
  <si>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</si>
  <si>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</si>
  <si>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</si>
  <si>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</si>
  <si>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</si>
  <si>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</si>
  <si>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</si>
  <si>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</si>
  <si>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</si>
  <si>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</si>
  <si>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</si>
  <si>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</si>
  <si>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</si>
  <si>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</si>
  <si>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</si>
  <si>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</si>
  <si>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</si>
  <si>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</si>
  <si>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</si>
  <si>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</si>
  <si>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</si>
  <si>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</si>
  <si>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</si>
  <si>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</si>
  <si>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</si>
  <si>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</si>
  <si>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</si>
  <si>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</si>
  <si>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</si>
  <si>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</si>
  <si>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</si>
  <si>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</si>
  <si>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</si>
  <si>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</si>
  <si>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</si>
  <si>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</si>
  <si>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</si>
  <si>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</si>
  <si>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</si>
  <si>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</si>
  <si>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</si>
  <si>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</si>
  <si>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</si>
  <si>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</si>
  <si>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</si>
  <si>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</si>
  <si>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</si>
  <si>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</si>
  <si>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</si>
  <si>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</si>
  <si>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</si>
  <si>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</si>
  <si>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</si>
  <si>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</si>
  <si>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</si>
  <si>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</si>
  <si>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</si>
  <si>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</si>
  <si>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</si>
  <si>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</si>
  <si>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</si>
  <si>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</si>
  <si>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</si>
  <si>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</si>
  <si>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</si>
  <si>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</si>
  <si>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</si>
  <si>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</si>
  <si>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</si>
  <si>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</si>
  <si>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</si>
  <si>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</si>
  <si>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</si>
  <si>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</si>
  <si>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</si>
  <si>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</si>
  <si>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</si>
  <si>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</si>
  <si>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</si>
  <si>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</si>
  <si>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</si>
  <si>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</si>
  <si>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</si>
  <si>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</si>
  <si>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</si>
  <si>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</si>
  <si>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</si>
  <si>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</si>
  <si>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</si>
  <si>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</si>
  <si>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</si>
  <si>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</si>
  <si>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</si>
  <si>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</si>
  <si>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</si>
  <si>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</si>
  <si>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</si>
  <si>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</si>
  <si>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</si>
  <si>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</si>
  <si>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</si>
  <si>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</si>
  <si>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</si>
  <si>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</si>
  <si>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</si>
  <si>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</si>
  <si>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</si>
  <si>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</si>
  <si>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</si>
  <si>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</si>
  <si>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</si>
  <si>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</si>
  <si>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</si>
  <si>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</si>
  <si>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</si>
  <si>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</si>
  <si>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</si>
  <si>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</si>
  <si>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</si>
  <si>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</si>
  <si>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</si>
  <si>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</si>
  <si>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</si>
  <si>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</si>
  <si>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</si>
  <si>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</si>
  <si>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</si>
  <si>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</si>
  <si>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</si>
  <si>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</si>
  <si>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</si>
  <si>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</si>
  <si>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</si>
  <si>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</si>
  <si>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</si>
  <si>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</si>
  <si>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</si>
  <si>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</si>
  <si>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</si>
  <si>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</si>
  <si>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</si>
  <si>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</si>
  <si>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</si>
  <si>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</si>
  <si>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</si>
  <si>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</si>
  <si>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</si>
  <si>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</si>
  <si>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</si>
  <si>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</si>
  <si>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</si>
  <si>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</si>
  <si>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</si>
  <si>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</si>
  <si>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</si>
  <si>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</si>
  <si>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</si>
  <si>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</si>
  <si>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</si>
  <si>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</si>
  <si>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</si>
  <si>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</si>
  <si>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</si>
  <si>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</si>
  <si>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</si>
  <si>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</si>
  <si>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</si>
  <si>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</si>
  <si>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</si>
  <si>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</si>
  <si>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</si>
  <si>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</si>
  <si>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</si>
  <si>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</si>
  <si>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</si>
  <si>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</si>
  <si>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</si>
  <si>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</si>
  <si>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</si>
  <si>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charset val="238"/>
      </rPr>
      <t>3)</t>
    </r>
    <r>
      <rPr>
        <b/>
        <sz val="9"/>
        <rFont val="Arial CE"/>
        <family val="2"/>
        <charset val="238"/>
      </rPr>
      <t>:</t>
    </r>
  </si>
  <si>
    <r>
      <t>s uvedením vztahu k právnické osobě</t>
    </r>
    <r>
      <rPr>
        <sz val="8"/>
        <rFont val="Arial CE"/>
        <charset val="238"/>
      </rPr>
      <t xml:space="preserve"> (např. jednatel, pověřený pracovník apod.)</t>
    </r>
  </si>
  <si>
    <t>Otisk razítka</t>
  </si>
  <si>
    <r>
      <t>2)</t>
    </r>
    <r>
      <rPr>
        <sz val="7"/>
        <rFont val="Arial CE"/>
        <family val="2"/>
        <charset val="238"/>
      </rPr>
      <t xml:space="preserve"> Údaj vyplňte, </t>
    </r>
    <r>
      <rPr>
        <b/>
        <sz val="7"/>
        <rFont val="Arial CE"/>
        <charset val="238"/>
      </rPr>
      <t>pouze</t>
    </r>
    <r>
      <rPr>
        <sz val="7"/>
        <rFont val="Arial CE"/>
        <family val="2"/>
        <charset val="238"/>
      </rPr>
      <t xml:space="preserve"> máte-li kód rozlišení typu DAP v případech uvedených v § 239b, § 239c a § 244 zákona č. 280/2009 Sb., daňového řádu, ve znění pozdějších předpisů</t>
    </r>
  </si>
  <si>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</si>
  <si>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</si>
  <si>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</si>
  <si>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</si>
  <si>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</si>
  <si>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</si>
  <si>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</si>
  <si>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</si>
  <si>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</si>
  <si>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</si>
  <si>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</si>
  <si>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</si>
  <si>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</si>
  <si>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</si>
  <si>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</si>
  <si>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</si>
  <si>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</si>
  <si>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</si>
  <si>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charset val="23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</si>
  <si>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</si>
  <si>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</si>
  <si>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</si>
  <si>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</si>
  <si>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</si>
  <si>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</si>
  <si>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238"/>
      </rPr>
      <t>Přílohy č. 3</t>
    </r>
    <r>
      <rPr>
        <sz val="8"/>
        <rFont val="Arial CE"/>
        <family val="2"/>
        <charset val="238"/>
      </rPr>
      <t xml:space="preserve"> zveřejněný na webové adrese </t>
    </r>
    <r>
      <rPr>
        <b/>
        <sz val="8"/>
        <rFont val="Arial CE"/>
        <charset val="238"/>
      </rPr>
      <t>www.financnisprava.cz</t>
    </r>
    <r>
      <rPr>
        <b/>
        <sz val="8"/>
        <rFont val="Arial CE"/>
        <family val="2"/>
        <charset val="23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</si>
  <si>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</si>
  <si>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</si>
  <si>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</si>
  <si>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</si>
  <si>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</si>
  <si>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23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</si>
  <si>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(§24 odst. 2 a 3 zák. č. 592/1992 Sb ve znění pozdějších předpisů)</t>
  </si>
  <si>
    <t>Číslo pojištěnce (rodné číslo)</t>
  </si>
  <si>
    <t>Bankovní spojení: (předčíslí účtu - číso účtu / kód banky)</t>
  </si>
  <si>
    <t>Důvod:</t>
  </si>
  <si>
    <t>5. Přeplatek (Doplatek)</t>
  </si>
  <si>
    <t>6. Nová výše zálohy (viz Poučení)</t>
  </si>
  <si>
    <t>b) výpočet</t>
  </si>
  <si>
    <t>7. Datum vyplnění a podpis pojištěnce</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</si>
  <si>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</si>
  <si>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</si>
  <si>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</si>
  <si>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</si>
  <si>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</si>
  <si>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</si>
  <si>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</si>
  <si>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</si>
  <si>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</si>
  <si>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</si>
  <si>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</si>
  <si>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</si>
  <si>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charset val="238"/>
      </rPr>
      <t>Speciální pozornost</t>
    </r>
    <r>
      <rPr>
        <sz val="11"/>
        <rFont val="Arial CE"/>
        <charset val="238"/>
      </rPr>
      <t xml:space="preserve"> je potřeba věnovat těmto položkám (položky jsou na listu ZAKL_DATA vyžluceny a obsahují obsáhlé komentáře s návody na jejich vyplnění):</t>
    </r>
  </si>
  <si>
    <r>
      <rPr>
        <b/>
        <sz val="11"/>
        <rFont val="Arial CE"/>
        <charset val="238"/>
      </rPr>
      <t>Finanční úřad</t>
    </r>
    <r>
      <rPr>
        <sz val="11"/>
        <rFont val="Arial CE"/>
        <charset val="23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</si>
  <si>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</si>
  <si>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charset val="238"/>
      </rPr>
      <t xml:space="preserve"> Jakékoli připomínky k šabloně zasílejte prosím mailem na adresu: </t>
    </r>
    <r>
      <rPr>
        <b/>
        <sz val="11"/>
        <rFont val="Arial CE"/>
        <charset val="238"/>
      </rPr>
      <t>priznani@aspekt.hm</t>
    </r>
  </si>
  <si>
    <r>
      <rPr>
        <b/>
        <sz val="11"/>
        <rFont val="Arial CE"/>
        <charset val="238"/>
      </rPr>
      <t>Územní pracoviště</t>
    </r>
    <r>
      <rPr>
        <sz val="11"/>
        <rFont val="Arial CE"/>
        <charset val="238"/>
      </rPr>
      <t xml:space="preserve"> (list ZAKL_DATA, položka B14, která se přenáší na list 1, položka A5)</t>
    </r>
  </si>
  <si>
    <r>
      <rPr>
        <b/>
        <sz val="11"/>
        <rFont val="Arial CE"/>
        <charset val="238"/>
      </rPr>
      <t>Stát</t>
    </r>
    <r>
      <rPr>
        <sz val="11"/>
        <rFont val="Arial CE"/>
        <charset val="238"/>
      </rPr>
      <t xml:space="preserve"> (list ZAKL_DATA, položka B20 která se přenáší na list 1, položka A36)</t>
    </r>
  </si>
  <si>
    <r>
      <rPr>
        <b/>
        <sz val="11"/>
        <rFont val="Arial CE"/>
        <charset val="238"/>
      </rPr>
      <t>Předmět podnikání / Hlavní ekonomická činnost</t>
    </r>
    <r>
      <rPr>
        <sz val="11"/>
        <rFont val="Arial CE"/>
        <charset val="238"/>
      </rPr>
      <t xml:space="preserve">  (list ZAKL_DATA, položka B29 která se přenáší na list 1, položka A51)</t>
    </r>
  </si>
  <si>
    <r>
      <t xml:space="preserve">Data v buňkách B13, B14, B20 a B29 je potřeba </t>
    </r>
    <r>
      <rPr>
        <b/>
        <sz val="11"/>
        <rFont val="Arial CE"/>
        <charset val="238"/>
      </rPr>
      <t>vyplnit pomocí rozevíracího seznamu</t>
    </r>
    <r>
      <rPr>
        <sz val="11"/>
        <rFont val="Arial CE"/>
        <charset val="23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</si>
  <si>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charset val="238"/>
      </rPr>
      <t>je potřeba si soubor ve formátu *.xlsx uložit</t>
    </r>
    <r>
      <rPr>
        <sz val="11"/>
        <rFont val="Arial CE"/>
        <charset val="238"/>
      </rPr>
      <t xml:space="preserve"> funkcí Uložit (v kroku 6 po vygenerování xml souboru dojde ke ztrátě dat).</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</si>
  <si>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</si>
  <si>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</si>
  <si>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</si>
  <si>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238"/>
      </rPr>
      <t>1</t>
    </r>
    <r>
      <rPr>
        <vertAlign val="superscript"/>
        <sz val="8"/>
        <rFont val="Arial CE"/>
        <charset val="23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</si>
  <si>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</si>
  <si>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</si>
  <si>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</si>
  <si>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</si>
  <si>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</si>
  <si>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</si>
  <si>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</si>
  <si>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</si>
  <si>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</si>
  <si>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</si>
  <si>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</si>
  <si>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</si>
  <si>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</si>
  <si>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</si>
  <si>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</si>
  <si>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</si>
  <si>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</si>
  <si>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</si>
  <si>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</si>
  <si>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</si>
  <si>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Variabilní symbol důchodového pojištění (DP)</t>
  </si>
  <si>
    <t>VZP</t>
  </si>
  <si>
    <t>Jiné ZP</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</si>
  <si>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</si>
  <si>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</si>
  <si>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</si>
  <si>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</si>
  <si>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</si>
  <si>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</si>
  <si>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</si>
  <si>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</si>
  <si>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</si>
  <si>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</si>
  <si>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</si>
  <si>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</si>
  <si>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</si>
  <si>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</si>
  <si>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</si>
  <si>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</si>
  <si>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</si>
  <si>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</si>
  <si>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</si>
  <si>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</si>
  <si>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</si>
  <si>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</si>
  <si>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</si>
  <si>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</si>
  <si>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</si>
  <si>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</si>
  <si>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</si>
  <si>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</si>
  <si>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</si>
  <si>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</si>
  <si>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</si>
  <si>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</si>
  <si>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</si>
  <si>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</si>
  <si>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</si>
  <si>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</si>
  <si>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</si>
  <si>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</si>
  <si>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</si>
  <si>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</si>
  <si>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</si>
  <si>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</si>
  <si>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</si>
  <si>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</si>
  <si>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</si>
  <si>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</si>
  <si>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</si>
  <si>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</si>
  <si>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</si>
  <si>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</si>
  <si>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</si>
  <si>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</si>
  <si>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</si>
  <si>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</si>
  <si>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</si>
  <si>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</si>
  <si>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</si>
  <si>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</si>
  <si>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</si>
  <si>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</si>
  <si>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</si>
  <si>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</si>
  <si>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</si>
  <si>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</si>
  <si>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</si>
  <si>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</si>
  <si>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</si>
  <si>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</si>
  <si>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</si>
  <si>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</si>
  <si>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</si>
  <si>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</si>
  <si>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</si>
  <si>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</si>
  <si>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</si>
  <si>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</si>
  <si>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</si>
  <si>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</si>
  <si>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</si>
  <si>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</si>
  <si>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</si>
  <si>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</si>
  <si>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</si>
  <si>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</si>
  <si>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</si>
  <si>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</si>
  <si>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</si>
  <si>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</si>
  <si>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</si>
  <si>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</si>
  <si>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</si>
  <si>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</si>
  <si>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238"/>
      </rPr>
      <t xml:space="preserve">potvrzuji, </t>
    </r>
    <r>
      <rPr>
        <sz val="9"/>
        <color theme="1"/>
        <rFont val="Arial"/>
        <family val="2"/>
        <charset val="238"/>
      </rPr>
      <t>že poplatník</t>
    </r>
  </si>
  <si>
    <t>v roce</t>
  </si>
  <si>
    <t xml:space="preserve">u výše uvedeného plátce daně daňové zvýhodnění na níže uvedené </t>
  </si>
  <si>
    <r>
      <rPr>
        <b/>
        <sz val="9"/>
        <color theme="1"/>
        <rFont val="Arial"/>
        <family val="2"/>
        <charset val="238"/>
      </rPr>
      <t xml:space="preserve">vyživované děti poplatníkem, </t>
    </r>
    <r>
      <rPr>
        <sz val="9"/>
        <color theme="1"/>
        <rFont val="Arial"/>
        <family val="2"/>
        <charset val="23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</si>
  <si>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</si>
  <si>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</si>
  <si>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</si>
  <si>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</si>
  <si>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</si>
  <si>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238"/>
      </rPr>
      <t>nepovinný tiskopis</t>
    </r>
    <r>
      <rPr>
        <sz val="8"/>
        <color theme="1"/>
        <rFont val="Arial"/>
        <family val="2"/>
        <charset val="238"/>
      </rPr>
      <t xml:space="preserve">, který je určen plátcům daně </t>
    </r>
    <r>
      <rPr>
        <b/>
        <sz val="8"/>
        <color theme="1"/>
        <rFont val="Arial"/>
        <family val="2"/>
        <charset val="238"/>
      </rPr>
      <t>pro účely potvrzení daňového zvýhodnění v souvislosti s prokazováním nároku v rámci daňového přiznání</t>
    </r>
    <r>
      <rPr>
        <sz val="8"/>
        <color theme="1"/>
        <rFont val="Arial"/>
        <family val="2"/>
        <charset val="23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23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</si>
  <si>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</si>
  <si>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</si>
  <si>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</si>
  <si>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</si>
  <si>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</si>
  <si>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</si>
  <si>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</si>
  <si>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</si>
  <si>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</si>
  <si>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</si>
  <si>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</si>
  <si>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</si>
  <si>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</si>
  <si>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</si>
  <si>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</si>
  <si>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</si>
  <si>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</si>
  <si>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</si>
  <si>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</si>
  <si>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</si>
  <si>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</si>
  <si>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charset val="238"/>
      </rPr>
      <t xml:space="preserve"> </t>
    </r>
    <r>
      <rPr>
        <sz val="8"/>
        <rFont val="Arial CE"/>
        <charset val="238"/>
      </rPr>
      <t>(je-li zástupce právnickou osobou)</t>
    </r>
    <r>
      <rPr>
        <sz val="9"/>
        <rFont val="Arial CE"/>
        <charset val="238"/>
      </rPr>
      <t>,</t>
    </r>
  </si>
  <si>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</si>
  <si>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</si>
  <si>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</si>
  <si>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</si>
  <si>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</si>
  <si>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</si>
  <si>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</si>
  <si>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</si>
  <si>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</si>
  <si>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</si>
  <si>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</si>
  <si>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</si>
  <si>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</si>
  <si>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</si>
  <si>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</si>
  <si>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</si>
  <si>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</si>
  <si>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</si>
  <si>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</si>
  <si>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</si>
  <si>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</si>
  <si>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</si>
  <si>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</si>
  <si>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</si>
  <si>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</si>
  <si>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</si>
  <si>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</si>
  <si>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</si>
  <si>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</si>
  <si>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</si>
  <si>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PŘIZNÁNÍ K DANI Z PŘÍJMŮ FYZICKÝCH OSOB včetně přehledů OSVČ pro zdravotní i sociální pojištění</t>
  </si>
  <si>
    <t xml:space="preserve">nebo vraťte na účet vedený u </t>
  </si>
  <si>
    <t>6. Ulice</t>
  </si>
  <si>
    <t>7. Číslo domu</t>
  </si>
  <si>
    <t>8. Obec</t>
  </si>
  <si>
    <t>9. PSČ</t>
  </si>
  <si>
    <t>10. Stát</t>
  </si>
  <si>
    <t>G. Způsob použití přeplatku</t>
  </si>
  <si>
    <t>IBAN (číslo účtu použijte při platbě do ciziny)</t>
  </si>
  <si>
    <t>Datum převzetí, razítko a podpis pracovníka VZP ČR</t>
  </si>
  <si>
    <t>Z Řádku 4 počet měsíců , kdy byla OSVČ pojištěna u VZP ČR</t>
  </si>
  <si>
    <t>Prohlašuji, že všechny údaje v tomto PŘEHLEDU jsou pravdivé a že ohlásím VZP ČR všechny změny údajů, a to do 8 dnů ode dne, kdy jsem se o změněné skutečnosti dozvěděl.</t>
  </si>
  <si>
    <t>Přeplatek (zbývající část přeplatku) ve vyšší výši než 99 Kč</t>
  </si>
  <si>
    <r>
      <t>Podpis daňového subjektu (podepisující osoby</t>
    </r>
    <r>
      <rPr>
        <vertAlign val="superscript"/>
        <sz val="8"/>
        <rFont val="Arial"/>
        <family val="2"/>
        <charset val="238"/>
      </rPr>
      <t>3)</t>
    </r>
    <r>
      <rPr>
        <sz val="8"/>
        <rFont val="Arial"/>
        <family val="2"/>
        <charset val="23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</si>
  <si>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</si>
  <si>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</si>
  <si>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</si>
  <si>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</si>
  <si>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</si>
  <si>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</si>
  <si>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</si>
  <si>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</si>
  <si>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</si>
  <si>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charset val="238"/>
      </rPr>
      <t>1</t>
    </r>
    <r>
      <rPr>
        <sz val="8"/>
        <rFont val="Arial CE"/>
        <charset val="23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</si>
  <si>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</si>
  <si>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</si>
  <si>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</si>
  <si>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</si>
  <si>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238"/>
      </rPr>
      <t>1</t>
    </r>
    <r>
      <rPr>
        <sz val="8"/>
        <rFont val="Arial"/>
        <family val="2"/>
        <charset val="238"/>
      </rPr>
      <t>) Stanovena (pravomocně stanovena)</t>
    </r>
  </si>
  <si>
    <t>25 5405/P6 MFin 5405/P6 - vzor č. 2</t>
  </si>
  <si>
    <t>4. Rodné číslo</t>
  </si>
  <si>
    <t>5. Datum narození</t>
  </si>
  <si>
    <t>12. Telefon</t>
  </si>
  <si>
    <t>11. ID Datové schránky/E-mail</t>
  </si>
  <si>
    <t xml:space="preserve">SPOLEČNÉ ÚDAJE </t>
  </si>
  <si>
    <t>B. Údaje o výkonu samostatné výdělečné činnosti (SVČ)</t>
  </si>
  <si>
    <t>Měsíce, v nichž po celý měsíc trval nárok na výplatu nemocenského/PPM nebo dlouh. ošetřovného</t>
  </si>
  <si>
    <t>14. Zaměstnání</t>
  </si>
  <si>
    <t>18. Osobní péče o osobu závislou na pomoci jiné osoby</t>
  </si>
  <si>
    <t>17. Nárok na PPM nebo nemocenské z důvodu těhotenství a porodu z NP zaměstnanců</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</si>
  <si>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</si>
  <si>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</si>
  <si>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</si>
  <si>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</si>
  <si>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</si>
  <si>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</si>
  <si>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Údaje OSSZ / PSSZ / MSSZ Brno</t>
  </si>
  <si>
    <t>Pro Důvod podle písmena f) uveďte</t>
  </si>
  <si>
    <t xml:space="preserve">     Řádek 5</t>
  </si>
  <si>
    <t>Datum převzetí, razítko a podpis pracovníka ZP ČR</t>
  </si>
  <si>
    <t>Prohlašuji, že všechny údaje v tomto PŘEHLEDU jsou pravdivé a že ohlásím ZP ČR všechny změny údajů, a to do 8 dnů ode dne, kdy jsem se o změněné skutečnosti dozvěděl.</t>
  </si>
  <si>
    <t xml:space="preserve">      Typ zálohy                                                               Nová výše zálohy</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</si>
  <si>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</si>
  <si>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</si>
  <si>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</si>
  <si>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</si>
  <si>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</si>
  <si>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</si>
  <si>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</si>
  <si>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238"/>
      </rPr>
      <t>na celé Kč</t>
    </r>
    <r>
      <rPr>
        <sz val="8"/>
        <rFont val="Arial CE"/>
        <family val="2"/>
        <charset val="23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</si>
  <si>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</si>
  <si>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</si>
  <si>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</si>
  <si>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</si>
  <si>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</si>
  <si>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</si>
  <si>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</si>
  <si>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</si>
  <si>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</si>
  <si>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r>
      <rPr>
        <vertAlign val="superscript"/>
        <sz val="7"/>
        <rFont val="Arial CE"/>
        <charset val="238"/>
      </rPr>
      <t>*</t>
    </r>
    <r>
      <rPr>
        <sz val="7"/>
        <rFont val="Arial CE"/>
        <charset val="238"/>
      </rPr>
      <t>) Označené údaje jsou nepovinné</t>
    </r>
  </si>
  <si>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</si>
  <si>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</si>
  <si>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</si>
  <si>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</si>
  <si>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</si>
  <si>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</si>
  <si>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</si>
  <si>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</si>
  <si>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</si>
  <si>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</si>
  <si>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23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</si>
  <si>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</si>
  <si>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</si>
  <si>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</si>
  <si>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</si>
  <si>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23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</si>
  <si>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</si>
  <si>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</si>
  <si>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</si>
  <si>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</si>
  <si>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</si>
  <si>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</si>
  <si>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</si>
  <si>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</si>
  <si>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</si>
  <si>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</si>
  <si>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</si>
  <si>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</si>
  <si>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Daň z příjmů</t>
  </si>
  <si>
    <t>Duchodové pojištění</t>
  </si>
  <si>
    <t>Nemocenské pojištění</t>
  </si>
  <si>
    <t>Zdravotní pojištění</t>
  </si>
  <si>
    <t>Datum splatnosti</t>
  </si>
  <si>
    <r>
      <t>8. den po datu odevzdání přehledů OSVČ</t>
    </r>
    <r>
      <rPr>
        <vertAlign val="superscript"/>
        <sz val="10"/>
        <rFont val="Arial"/>
        <family val="2"/>
        <charset val="238"/>
      </rPr>
      <t>2)</t>
    </r>
  </si>
  <si>
    <r>
      <t>Termín pro odevzdání daňového přiznání</t>
    </r>
    <r>
      <rPr>
        <vertAlign val="superscript"/>
        <sz val="10"/>
        <rFont val="Arial CE"/>
        <charset val="238"/>
      </rPr>
      <t>1)</t>
    </r>
    <r>
      <rPr>
        <sz val="10"/>
        <rFont val="Arial CE"/>
        <charset val="238"/>
      </rPr>
      <t>:</t>
    </r>
  </si>
  <si>
    <t xml:space="preserve">1) toto políčko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</si>
  <si>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</si>
  <si>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ii) na 2.5., pokud dojde k podání přiznání elektronickou cestou poplatníkem v termínu od 2.4. do 2.5., avšak s vyjímkou povinně auditovaných daňových subjektů.</t>
  </si>
  <si>
    <t>Znaménko mínus značí přeplatek a měl by být vrácen nejpozději do 30 dnů po datu uvedeném v příslušném řádku.</t>
  </si>
  <si>
    <t>ANO/NE</t>
  </si>
  <si>
    <t>Tisk řádku</t>
  </si>
  <si>
    <t>ANO</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</si>
  <si>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</si>
  <si>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iii) na 1.7., pokud dojde k podání přiznání daňovým poradcem na základě plné moci v termínu od 2.4. do 1.7. nebo u  povinně auditovaných subjektů.</t>
  </si>
  <si>
    <t>2) Termín pro podání přehledů OSVČ na sociální i zdravotní pojištění je nejpozději do jednoho měsíce ode dne, ve kterém mělo být podáno daňové přiznání. Doplatek pojistného je splatný nejpozději do 8 dnů po dni, ve kterém byl nebo měl být podán přehled OSVČ.</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</si>
  <si>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</si>
  <si>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</si>
  <si>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</si>
  <si>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</si>
  <si>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</si>
  <si>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</si>
  <si>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</si>
  <si>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</si>
  <si>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</si>
  <si>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32. Pojistné na DP</t>
  </si>
  <si>
    <t>33. Úhrn zaplacených záloh na DP</t>
  </si>
  <si>
    <t>34. Výsledný Doplatek / Přeplatek (rozdíl mezi řádky 32 a 33)</t>
  </si>
  <si>
    <t>Plná moc přílohou             ano</t>
  </si>
  <si>
    <t>Jiné přílohy</t>
  </si>
  <si>
    <t>15. Nárok na výplatu invalidního nebo přiznání starobního důchodu</t>
  </si>
  <si>
    <t>Nemám povinnost podávat daňové přiznání</t>
  </si>
  <si>
    <t>Řádek 3</t>
  </si>
  <si>
    <t>Daňový základ</t>
  </si>
  <si>
    <t>Řádek 5</t>
  </si>
  <si>
    <t>Přeplatek zašlete:</t>
  </si>
  <si>
    <t>na bankovní účet</t>
  </si>
  <si>
    <t>poštovní poukázkou</t>
  </si>
  <si>
    <t xml:space="preserve">Přeplatek (Doplatek): Řádek 41 - Řádek 16                         </t>
  </si>
  <si>
    <t>Přehled o výši daňového základu ze samostatné výdělečné činnosti a zaplacených zálohách na pojistné</t>
  </si>
  <si>
    <t>0,135 x 0,5 x Řádek 3 / Řádek 4 (zaokr. na Kč nahoru)</t>
  </si>
  <si>
    <r>
      <t xml:space="preserve">NEŽÁDÁM o vrácení přeplatku </t>
    </r>
    <r>
      <rPr>
        <b/>
        <sz val="7"/>
        <rFont val="Arial"/>
        <family val="2"/>
        <charset val="238"/>
      </rPr>
      <t>(přeplatek bude použit na úhrady záloh v dal.období)</t>
    </r>
  </si>
  <si>
    <t>Zbývá doplatit  (ř. 77 - ř. 77a - ř. 84 - ř. 85 - ř. 86 - ř. 87 - ř. 87a - ř. 88 + ř. 89 - ř. 90): (+) zbývá doplatit, (-) zaplaceno více</t>
  </si>
  <si>
    <t>ZVLÁŠTNÍ PŘÍLOHA - ÚDAJE O DALŠÍCH DĚTECH ŽIJÍCÍCH S POPLATNÍKEM VE SPOLEČNĚ HOSPODAŘÍCÍ DOMÁCNOSTI</t>
  </si>
  <si>
    <t>DP6</t>
  </si>
  <si>
    <t>da_samzakl</t>
  </si>
  <si>
    <t>kc_dan_celk</t>
  </si>
  <si>
    <t>kc_dan_po_db</t>
  </si>
  <si>
    <t>kc_db_po_odpd</t>
  </si>
  <si>
    <t>pril_loto</t>
  </si>
  <si>
    <t>priloha4</t>
  </si>
  <si>
    <t>roz_od10</t>
  </si>
  <si>
    <t>kc_zakztr</t>
  </si>
  <si>
    <t>proc_od10</t>
  </si>
  <si>
    <t>da_vzahod9</t>
  </si>
  <si>
    <t>https://adisspr.mfcr.cz/pmd/epo/formulare?nacteni=1</t>
  </si>
  <si>
    <t>35. Měsíční vyměřovací základ</t>
  </si>
  <si>
    <t>37. Měsíční pojistné na NP</t>
  </si>
  <si>
    <t xml:space="preserve">36. Měsíční záloha na DP </t>
  </si>
  <si>
    <t>Sražená daň podle § 36 odst. 6 zákona</t>
  </si>
  <si>
    <t>Z Řádku 4 počet měsíců , kdy byla OSVČ pojištěna u ZP ČR</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</si>
  <si>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</si>
  <si>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</si>
  <si>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</si>
  <si>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</si>
  <si>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</si>
  <si>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charset val="238"/>
      </rPr>
      <t xml:space="preserve">Daň se sazbou 15 % ze součtu dílčích základů daně (ř. 409) </t>
    </r>
    <r>
      <rPr>
        <sz val="8"/>
        <rFont val="Arial CE"/>
        <family val="2"/>
        <charset val="23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</si>
  <si>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</si>
  <si>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</si>
  <si>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</si>
  <si>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</si>
  <si>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charset val="238"/>
      </rPr>
      <t>zaokrouhlený</t>
    </r>
    <r>
      <rPr>
        <sz val="8"/>
        <rFont val="Arial CE"/>
        <family val="2"/>
        <charset val="238"/>
      </rPr>
      <t xml:space="preserve"> na celá sta Kč dolů</t>
    </r>
  </si>
  <si>
    <t>19. Nezaopatřenost dítěte (studium)</t>
  </si>
  <si>
    <t>Hlavní</t>
  </si>
  <si>
    <t>Vedlejší</t>
  </si>
  <si>
    <t>H. Údaje o daňovém přiznání a paušálním režimu</t>
  </si>
  <si>
    <t>39. Povinnost podávat daňové přiznání</t>
  </si>
  <si>
    <t>g)</t>
  </si>
  <si>
    <t>h)</t>
  </si>
  <si>
    <t>Pokud máte příjmy ze zahraničí, zaškrtněte vedlejší políčko symbolem "X"</t>
  </si>
  <si>
    <r>
      <t xml:space="preserve">Vygenerovaný soubor </t>
    </r>
    <r>
      <rPr>
        <b/>
        <sz val="11"/>
        <rFont val="Arial CE"/>
        <charset val="238"/>
      </rPr>
      <t>JE NUTNÉ</t>
    </r>
    <r>
      <rPr>
        <sz val="11"/>
        <rFont val="Arial CE"/>
        <charset val="238"/>
      </rPr>
      <t xml:space="preserve"> </t>
    </r>
    <r>
      <rPr>
        <b/>
        <sz val="11"/>
        <rFont val="Arial CE"/>
        <charset val="238"/>
      </rPr>
      <t xml:space="preserve">otestovat prostřednictvím aplikace </t>
    </r>
    <r>
      <rPr>
        <b/>
        <u/>
        <sz val="11"/>
        <rFont val="Arial CE"/>
        <charset val="238"/>
      </rPr>
      <t>Moje daně</t>
    </r>
    <r>
      <rPr>
        <sz val="11"/>
        <rFont val="Arial CE"/>
        <charset val="238"/>
      </rPr>
      <t xml:space="preserve">  zde: </t>
    </r>
  </si>
  <si>
    <r>
      <t xml:space="preserve">Po načtení xml souboru aplikace </t>
    </r>
    <r>
      <rPr>
        <u/>
        <sz val="11"/>
        <rFont val="Arial CE"/>
        <charset val="238"/>
      </rPr>
      <t>Moje daně</t>
    </r>
    <r>
      <rPr>
        <sz val="11"/>
        <rFont val="Arial CE"/>
        <charset val="238"/>
      </rPr>
      <t xml:space="preserve"> ověří, zda je vygenerovaný soubor v pořádku. Pro odstranění chyb z načtení doporučujeme postupovat dle pokynu uvedeném na listu </t>
    </r>
    <r>
      <rPr>
        <u/>
        <sz val="11"/>
        <rFont val="Arial CE"/>
        <charset val="238"/>
      </rPr>
      <t>Moje daně.</t>
    </r>
    <r>
      <rPr>
        <sz val="11"/>
        <rFont val="Arial CE"/>
        <charset val="238"/>
      </rPr>
      <t xml:space="preserve"> V případě, že chyby i nadále trvají, nahlásí aplikace </t>
    </r>
    <r>
      <rPr>
        <u/>
        <sz val="11"/>
        <rFont val="Arial CE"/>
        <charset val="238"/>
      </rPr>
      <t>Moje daně</t>
    </r>
    <r>
      <rPr>
        <sz val="11"/>
        <rFont val="Arial CE"/>
        <charset val="238"/>
      </rPr>
      <t xml:space="preserve"> chybu s popisem, v čem chyba spočívá. Chybu je potřeba odstranit buď (i) přímo v aplikaci </t>
    </r>
    <r>
      <rPr>
        <u/>
        <sz val="11"/>
        <rFont val="Arial CE"/>
        <charset val="238"/>
      </rPr>
      <t>Moje daně</t>
    </r>
    <r>
      <rPr>
        <sz val="11"/>
        <rFont val="Arial CE"/>
        <charset val="238"/>
      </rPr>
      <t>, nebo (ii) v tomto excelovském souboru a znova vygenerovat xml soubor dle bodu 5.</t>
    </r>
  </si>
  <si>
    <r>
      <t xml:space="preserve">Většina chyb je způsobena tím, že aplikace </t>
    </r>
    <r>
      <rPr>
        <u/>
        <sz val="11"/>
        <rFont val="Arial CE"/>
        <charset val="238"/>
      </rPr>
      <t>Moje daně</t>
    </r>
    <r>
      <rPr>
        <sz val="11"/>
        <rFont val="Arial CE"/>
        <charset val="23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</si>
  <si>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charset val="238"/>
      </rPr>
      <t xml:space="preserve">prostřednictvím aplikace </t>
    </r>
    <r>
      <rPr>
        <b/>
        <u/>
        <sz val="11"/>
        <rFont val="Arial CE"/>
        <charset val="238"/>
      </rPr>
      <t>Moje daně</t>
    </r>
    <r>
      <rPr>
        <sz val="11"/>
        <rFont val="Arial CE"/>
        <charset val="238"/>
      </rPr>
      <t xml:space="preserve"> </t>
    </r>
    <r>
      <rPr>
        <b/>
        <sz val="11"/>
        <rFont val="Arial CE"/>
        <charset val="238"/>
      </rPr>
      <t>též vložit povinné přílohy</t>
    </r>
    <r>
      <rPr>
        <sz val="11"/>
        <rFont val="Arial CE"/>
        <charset val="238"/>
      </rPr>
      <t xml:space="preserve"> v pdf formátu (viz list DAP4), případně účetní závěrku v pdf formátu (pokud ji nenačtete rovnou do tohoto souboru - viz bod 4) - příslušný formulář lze stáhnout zde:</t>
    </r>
  </si>
  <si>
    <r>
      <t xml:space="preserve">i) prostřednictvím aplikace </t>
    </r>
    <r>
      <rPr>
        <u/>
        <sz val="11"/>
        <rFont val="Arial CE"/>
        <charset val="238"/>
      </rPr>
      <t>Moje daně</t>
    </r>
    <r>
      <rPr>
        <sz val="11"/>
        <rFont val="Arial CE"/>
        <charset val="238"/>
      </rPr>
      <t xml:space="preserve"> s podepsáním přes elektronickou identitu,</t>
    </r>
  </si>
  <si>
    <r>
      <rPr>
        <b/>
        <sz val="11"/>
        <rFont val="Arial CE"/>
        <charset val="238"/>
      </rPr>
      <t xml:space="preserve">Po načtení xml souboru </t>
    </r>
    <r>
      <rPr>
        <sz val="11"/>
        <rFont val="Arial CE"/>
        <charset val="238"/>
      </rPr>
      <t>do aplikace Moje daně (</t>
    </r>
    <r>
      <rPr>
        <b/>
        <sz val="11"/>
        <color rgb="FF3399FF"/>
        <rFont val="Arial CE"/>
        <charset val="238"/>
      </rPr>
      <t>https://adisspr.mfcr.cz/pmd/epo/formulare?nacteni=1</t>
    </r>
    <r>
      <rPr>
        <sz val="11"/>
        <rFont val="Arial CE"/>
        <charset val="238"/>
      </rPr>
      <t>) aplikace nabídne domnělý seznam chyb, ten ignorujte a zrušte jej křížkem v pravém horním rohu.</t>
    </r>
  </si>
  <si>
    <r>
      <rPr>
        <b/>
        <sz val="11"/>
        <rFont val="Arial CE"/>
        <charset val="238"/>
      </rPr>
      <t>Jděte vlevo do menu na odkaz "Přílohy"</t>
    </r>
    <r>
      <rPr>
        <sz val="11"/>
        <rFont val="Arial CE"/>
        <charset val="23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</si>
  <si>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</si>
  <si>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charset val="238"/>
      </rPr>
      <t>Jděte vlevo do menu na odkaz "Elektronický formulář"</t>
    </r>
    <r>
      <rPr>
        <sz val="11"/>
        <rFont val="Arial CE"/>
        <charset val="238"/>
      </rPr>
      <t xml:space="preserve"> a vyberte volbu "Slevy na dani a daňové zvýhodnění, DoDPAP a placení daně" a tam zvolte volbu "Kontrola stránky"</t>
    </r>
  </si>
  <si>
    <r>
      <rPr>
        <b/>
        <sz val="11"/>
        <rFont val="Arial CE"/>
        <charset val="238"/>
      </rPr>
      <t>Jděte vlevo do menu na odkaz "Elektronický formulář",</t>
    </r>
    <r>
      <rPr>
        <sz val="11"/>
        <rFont val="Arial CE"/>
        <charset val="238"/>
      </rPr>
      <t xml:space="preserve"> vyberte volbu "Přílohy DAP a Podpisová doložka" a připojte příslušné přílohy v pdf formátu do všech položek, kde jsou červené poznámky aplikace </t>
    </r>
    <r>
      <rPr>
        <u/>
        <sz val="11"/>
        <rFont val="Arial CE"/>
        <charset val="238"/>
      </rPr>
      <t>Moje daně</t>
    </r>
    <r>
      <rPr>
        <sz val="11"/>
        <rFont val="Arial CE"/>
        <charset val="238"/>
      </rPr>
      <t>.</t>
    </r>
  </si>
  <si>
    <r>
      <t xml:space="preserve">Jděte vpravo nahoru na odkaz "Protokol chyb". </t>
    </r>
    <r>
      <rPr>
        <sz val="11"/>
        <rFont val="Arial CE"/>
        <charset val="23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</si>
  <si>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charset val="238"/>
      </rPr>
      <t>(volba "Další volby / Stáhnout soubor pro odeslání do datové schránky")</t>
    </r>
    <r>
      <rPr>
        <b/>
        <sz val="11"/>
        <rFont val="Arial CE"/>
        <charset val="238"/>
      </rPr>
      <t xml:space="preserve"> a v pdf podobě </t>
    </r>
    <r>
      <rPr>
        <sz val="11"/>
        <rFont val="Arial CE"/>
        <charset val="238"/>
      </rPr>
      <t>(volba "Další volby / Stáhnout opis v PDF").</t>
    </r>
  </si>
  <si>
    <t xml:space="preserve">8. </t>
  </si>
  <si>
    <r>
      <t xml:space="preserve">Pokud máte elektronicku identitu, </t>
    </r>
    <r>
      <rPr>
        <b/>
        <sz val="11"/>
        <rFont val="Arial CE"/>
        <charset val="238"/>
      </rPr>
      <t xml:space="preserve">můžete přiznání podat na finanční úřad přes volbu "Odeslat" </t>
    </r>
    <r>
      <rPr>
        <sz val="11"/>
        <rFont val="Arial CE"/>
        <charset val="23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</si>
  <si>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</si>
  <si>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</si>
  <si>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</si>
  <si>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charset val="238"/>
      </rPr>
      <t>Nejlépe to lze udělat tak, že si označíte listy "SP1" a "SP2" a vytiskněte je do programu, který je uloží do souboru v pdf formátu (např. PdfCreator, Microsoft Print to PDF apod.).</t>
    </r>
  </si>
  <si>
    <t xml:space="preserve">2. </t>
  </si>
  <si>
    <r>
      <rPr>
        <sz val="11"/>
        <rFont val="Arial CE"/>
        <charset val="238"/>
      </rPr>
      <t xml:space="preserve">Takto vytvořený </t>
    </r>
    <r>
      <rPr>
        <b/>
        <sz val="11"/>
        <rFont val="Arial CE"/>
        <charset val="238"/>
      </rPr>
      <t xml:space="preserve">pdf soubor pošlete vaší datovou schránkou do datové schránky vaší </t>
    </r>
    <r>
      <rPr>
        <sz val="11"/>
        <rFont val="Arial CE"/>
        <charset val="238"/>
      </rPr>
      <t>příslušné okresní/pražské/městké</t>
    </r>
    <r>
      <rPr>
        <b/>
        <sz val="11"/>
        <rFont val="Arial CE"/>
        <charset val="238"/>
      </rPr>
      <t xml:space="preserve"> správy sociálního zabezpečení.</t>
    </r>
  </si>
  <si>
    <r>
      <t xml:space="preserve">Vytvořte si pdf verzi přehledu pro zdravotní pojištění. </t>
    </r>
    <r>
      <rPr>
        <sz val="11"/>
        <rFont val="Arial CE"/>
        <charset val="23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</si>
  <si>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charset val="238"/>
      </rPr>
      <t xml:space="preserve">Takto vytvořený </t>
    </r>
    <r>
      <rPr>
        <b/>
        <sz val="11"/>
        <rFont val="Arial CE"/>
        <charset val="23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</si>
  <si>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</si>
  <si>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</si>
  <si>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</si>
  <si>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Zaškrtněte měsíc a písmeno podle poučení - pro písmeno f) uveďte RČ dětí:</t>
  </si>
  <si>
    <t>6. Nová výše zálohy</t>
  </si>
  <si>
    <t>Vraťte na účet:</t>
  </si>
  <si>
    <t>Pošlete poštovní poukázkou (zpoplatněno) na adresu trvalého pobytu nebo na uvedenou adresu:</t>
  </si>
  <si>
    <t>42. Lhůta pro předložení daňového přiznání byla rozhodnutím FÚ prodloužena do dne</t>
  </si>
  <si>
    <t>L. Podpisy a přílohy</t>
  </si>
  <si>
    <t>Daňové přiznání podávám s odkladem</t>
  </si>
  <si>
    <t>25 5405 Mfin 5405 vzor č. 29, formulář je platný pro zdaňovací období započatá v roce 2024</t>
  </si>
  <si>
    <t>25 5405 MFin 5405 vzor č.29</t>
  </si>
  <si>
    <t>Částka podle</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</si>
  <si>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</si>
  <si>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</si>
  <si>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</si>
  <si>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</si>
  <si>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</si>
  <si>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</si>
  <si>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</si>
  <si>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</si>
  <si>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</si>
  <si>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</si>
  <si>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</si>
  <si>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</si>
  <si>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ke dni  31.12.2024</t>
  </si>
  <si>
    <t>je součástí tiskopisu P Ř I Z N Á N Í k dani z příjmů fyzických osob za zdaňovací období 2024 - 25 5405 MFin 5405 vzor č. 29 („dále jen DAP")</t>
  </si>
  <si>
    <t>25 5405/P1 MFin 5405/P1 - vzor č. 20</t>
  </si>
  <si>
    <t>je součástí tiskopisu P Ř I Z N Á N Í k dani z příjmů fyzických osob za zdaňovací období 2024 - 25 5405 MFin 5405 vzor č. 29 (dále jen „DAP")</t>
  </si>
  <si>
    <t>25 5405/P2 MFin 5405/P2 - vzor č. 20</t>
  </si>
  <si>
    <t>je součástí tiskopisu P Ř I Z N Á N Í k dani z příjmů fyzických osob za zdaňovací období 2024 - 25 5405 MFin 5405 vzor č. 29 (dále jen „DAP").</t>
  </si>
  <si>
    <t>25 5405/P3 MFin 5405/P3 - vzor č. 20</t>
  </si>
  <si>
    <t>1. Výpočet daně ze samostatného základu daně podle § 16a zákona</t>
  </si>
  <si>
    <t>25 5405/P4 MFin 5405/P4 - vzor č. 11</t>
  </si>
  <si>
    <t>prohlašuji, že jsem v roce 2024 neuplatnil / neuplatnila daňové zvýhodnění na vyživované děti:</t>
  </si>
  <si>
    <t>Platební kalendář daňových a pojistných povinností 2025 - 2026</t>
  </si>
  <si>
    <t xml:space="preserve">Daňové identifikační číslo plátce daně </t>
  </si>
  <si>
    <t>7</t>
  </si>
  <si>
    <r>
      <t>potvrzení vydané dne</t>
    </r>
    <r>
      <rPr>
        <vertAlign val="superscript"/>
        <sz val="9"/>
        <color theme="1"/>
        <rFont val="Arial"/>
        <family val="2"/>
        <charset val="238"/>
      </rPr>
      <t>1)</t>
    </r>
  </si>
  <si>
    <t>25 5558 Mfin 5558 - vzor č. 3</t>
  </si>
  <si>
    <t>POKYNY</t>
  </si>
  <si>
    <r>
      <rPr>
        <vertAlign val="superscript"/>
        <sz val="8"/>
        <color theme="1"/>
        <rFont val="Arial"/>
        <family val="2"/>
        <charset val="238"/>
      </rPr>
      <t>1)</t>
    </r>
    <r>
      <rPr>
        <sz val="8"/>
        <color theme="1"/>
        <rFont val="Arial"/>
        <family val="2"/>
        <charset val="23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</si>
  <si>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Mám povinnost podávat daňové přiznání do 2.4.2025</t>
  </si>
  <si>
    <t>Daňové přiznání podávám po 2.4.2025 elektronicky</t>
  </si>
  <si>
    <t>Daňové přiznání za mne po 2.4.2025 podává daňový poradce</t>
  </si>
  <si>
    <t>V roce 2024 jsem byl/a poplatníkem v paušálním režimu v měsících:</t>
  </si>
  <si>
    <t>V roce 2024 pro mne neplatila povinnost hradit zálohy na pojistné v měsících:</t>
  </si>
  <si>
    <t>V roce 2024 pro mne nebyl stanoven minimální vyměřovací základ v měsících:</t>
  </si>
  <si>
    <t xml:space="preserve">Úhrn zaplacených záloh na pojistné v roce 2024                 </t>
  </si>
  <si>
    <t>Počet měsíců trvání samostatné výdělečné činnosti v roce 2024</t>
  </si>
  <si>
    <t>Vyměřovací základ OSVČ za rok 2024: 0,50 x Řádek 3 (pro &lt; Řádek 9, zapíše se Řádek 9)</t>
  </si>
  <si>
    <t>Pojistné za rok 2024: 0,135 x (Řádek 14 x Řádek 5) / Řádek 4 (zaokr. na Kč nahoru)</t>
  </si>
  <si>
    <t>VZP 87.51/2024</t>
  </si>
  <si>
    <t>Identifikační číslo (IČO)</t>
  </si>
  <si>
    <t xml:space="preserve">21 983,50 Kč x Řádek 6         </t>
  </si>
  <si>
    <t xml:space="preserve">a) 3 193 Kč </t>
  </si>
  <si>
    <r>
      <t xml:space="preserve">NEŽÁDÁM o vrácení přeplatku </t>
    </r>
    <r>
      <rPr>
        <b/>
        <sz val="7"/>
        <color rgb="FFFF0000"/>
        <rFont val="Arial"/>
        <family val="2"/>
        <charset val="238"/>
      </rPr>
      <t>(přeplatek bude použit na úhrady záloh v dalším období)</t>
    </r>
  </si>
  <si>
    <t>ZP 87.51/2024</t>
  </si>
  <si>
    <t xml:space="preserve">a) 3 164 Kč </t>
  </si>
  <si>
    <t>ČSSZ -89 324 23 I/2025</t>
  </si>
  <si>
    <t>Přehled o příjmech a výdajích OSVČ za rok 2024</t>
  </si>
  <si>
    <t>13. V roce 2024 jsem vykonával/a SVČ</t>
  </si>
  <si>
    <t>D. Údaje o daňovém základu OSVČ za rok 2024 a další údaje podle ustanovení § 15 zákona č. 589/1992 Sb.</t>
  </si>
  <si>
    <t>E. Vedlejsí SVČ - přihláška k účasti na DP OSVČ v roce 2024</t>
  </si>
  <si>
    <t>Vzhledem k tomu, že jsem v roce 2024 nedosáhl/a z výkonu vedlejší SVČ zákonem stanoveného příjmu pro povinnou účast na důchodovém pojištění OSVČ, přihlašuji se k této účasti dnem podání tohoto přehledu</t>
  </si>
  <si>
    <t>Pracviště ÚSSZ (OSSZ / PSSZ / MSSZ Brno)</t>
  </si>
  <si>
    <t>V roce 2024 splňuji podmínku pro měsíční VZ ve výši 25 % průměrné mzdy (viz pokyny)</t>
  </si>
  <si>
    <t>16. Osobní péče o dítě do 4 let věku</t>
  </si>
  <si>
    <t xml:space="preserve">C. Důvod výkonu vedlejší SVČ podle ustanovení § 9 odst. 6 písm. a) - f)  zák. č. 155/1995 Sb. </t>
  </si>
  <si>
    <t>Poznámka: Řádky 24. a 26. se vyplňují pouze v případě, byla-li vykonávána hlavní i vedlejší činnost (čtěte pokyny)</t>
  </si>
  <si>
    <t>F. Výše zálohy na důchodové pojištění (DP) a pojistného na nemocenské pojištění (NP) na rok 2025</t>
  </si>
  <si>
    <t>V roce 2025 vykonávám / budu vykonávat SVČ</t>
  </si>
  <si>
    <t>V roce 2025 jsem / budu poplatníkem v paušálním režimu</t>
  </si>
  <si>
    <t>použijte na úhradu záloh na pojistné na měsíce roku 2025</t>
  </si>
  <si>
    <t>40. Daňové přiznání podáno po 1.4.2025 elektronicky</t>
  </si>
  <si>
    <t>41. Daňové přiznání podává po 1.4.2025 daňový poradce</t>
  </si>
  <si>
    <t>ČSSZ 89 324 23 I/2025</t>
  </si>
  <si>
    <t>Přehled o příjmech a výdajích OSVČ za rok 2024 - 2.strana</t>
  </si>
  <si>
    <t>38. V roce 2024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</si>
  <si>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2024, a to do 8 dnů ode dne, kdy jsem se o těchto změnách dozvěděl/a.</t>
  </si>
  <si>
    <t>V roce 2025 splňuji podmínku pro měsíční VZ ve výši 25 % průměrné mzdy (viz pokyny)</t>
  </si>
  <si>
    <t>Sdělení:</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</si>
  <si>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</si>
  <si>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r>
      <t xml:space="preserve">omezená verze - šablona umožňuje xml export - sledujte list </t>
    </r>
    <r>
      <rPr>
        <b/>
        <i/>
        <sz val="12"/>
        <rFont val="Arial CE"/>
        <charset val="23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</si>
  <si>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</si>
  <si>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</si>
  <si>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xml:space="preserve">* součet všech zdanitelných příjmů za zdaňovací období nepřekročí částku 800.000,- Kč </t>
  </si>
  <si>
    <r>
      <t xml:space="preserve">1. přejděte na list </t>
    </r>
    <r>
      <rPr>
        <i/>
        <sz val="12"/>
        <rFont val="Arial CE"/>
        <charset val="238"/>
      </rPr>
      <t>ZAKL_DATA</t>
    </r>
    <r>
      <rPr>
        <sz val="12"/>
        <rFont val="Arial CE"/>
        <charset val="238"/>
      </rPr>
      <t xml:space="preserve"> a vyplňte údaje poplatníka - data se automaticky nakopírují na správná místa (a lze je využít i pro jiné šablony),</t>
    </r>
  </si>
  <si>
    <t>* daňový základ nepřekročí částku 300.000,- Kč (řádek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</si>
</sst>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 mmmm\ yyyy"/>
    <numFmt numFmtId="166" formatCode="d/m/yyyy;@"/>
    <numFmt numFmtId="167" formatCode="???,???,???"/>
    <numFmt numFmtId="168" formatCode="#,##0.00\ &quot;Kč&quot;"/>
  </numFmts>
  <fonts count="170">
    <font>
      <sz val="10"/>
      <name val="Arial"/>
      <charset val="238"/>
    </font>
    <font>
      <sz val="11"/>
      <color theme="1"/>
      <name val="Calibri"/>
      <family val="2"/>
      <charset val="238"/>
      <scheme val="minor"/>
    </font>
    <font>
      <b/>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b/>
      <sz val="8"/>
      <name val="Arial CE"/>
      <charset val="238"/>
    </font>
    <font>
      <sz val="8"/>
      <name val="Arial CE"/>
      <charset val="238"/>
    </font>
    <font>
      <sz val="6"/>
      <name val="Arial CE"/>
      <charset val="238"/>
    </font>
    <font>
      <b/>
      <sz val="14"/>
      <name val="Arial CE"/>
      <charset val="238"/>
    </font>
    <font>
      <sz val="8"/>
      <name val="Arial"/>
      <family val="2"/>
      <charset val="238"/>
    </font>
    <font>
      <b/>
      <sz val="10"/>
      <name val="Arial"/>
      <family val="2"/>
      <charset val="238"/>
    </font>
    <font>
      <sz val="8"/>
      <name val="Arial CE"/>
      <family val="2"/>
      <charset val="238"/>
    </font>
    <font>
      <b/>
      <sz val="8"/>
      <name val="Arial CE"/>
      <family val="2"/>
      <charset val="238"/>
    </font>
    <font>
      <i/>
      <sz val="8"/>
      <name val="Arial CE"/>
      <family val="2"/>
      <charset val="238"/>
    </font>
    <font>
      <b/>
      <sz val="10"/>
      <name val="Arial"/>
      <family val="2"/>
      <charset val="238"/>
    </font>
    <font>
      <b/>
      <sz val="9"/>
      <name val="Arial CE"/>
      <family val="2"/>
      <charset val="238"/>
    </font>
    <font>
      <sz val="9"/>
      <name val="Arial CE"/>
      <family val="2"/>
      <charset val="238"/>
    </font>
    <font>
      <sz val="6"/>
      <name val="Arial"/>
      <family val="2"/>
      <charset val="238"/>
    </font>
    <font>
      <b/>
      <sz val="10"/>
      <name val="Arial CE"/>
      <family val="2"/>
      <charset val="238"/>
    </font>
    <font>
      <vertAlign val="superscript"/>
      <sz val="8"/>
      <name val="Arial CE"/>
      <family val="2"/>
      <charset val="238"/>
    </font>
    <font>
      <b/>
      <sz val="22"/>
      <name val="Arial CE"/>
      <family val="2"/>
      <charset val="238"/>
    </font>
    <font>
      <b/>
      <sz val="12"/>
      <name val="Arial CE"/>
      <family val="2"/>
      <charset val="238"/>
    </font>
    <font>
      <sz val="8"/>
      <name val="Arial"/>
      <family val="2"/>
    </font>
    <font>
      <sz val="10"/>
      <name val="Arial CE"/>
      <family val="2"/>
      <charset val="238"/>
    </font>
    <font>
      <sz val="10"/>
      <name val="Arial"/>
      <family val="2"/>
      <charset val="238"/>
    </font>
    <font>
      <b/>
      <sz val="10"/>
      <name val="Arial"/>
      <family val="2"/>
    </font>
    <font>
      <sz val="10"/>
      <name val="Arial"/>
      <family val="2"/>
    </font>
    <font>
      <i/>
      <sz val="8"/>
      <name val="Arial CE"/>
      <charset val="238"/>
    </font>
    <font>
      <b/>
      <sz val="12"/>
      <name val="Arial CE"/>
      <charset val="238"/>
    </font>
    <font>
      <sz val="7"/>
      <name val="Arial"/>
      <family val="2"/>
      <charset val="238"/>
    </font>
    <font>
      <sz val="7"/>
      <name val="Arial CE"/>
      <family val="2"/>
      <charset val="238"/>
    </font>
    <font>
      <b/>
      <u/>
      <sz val="14"/>
      <name val="Arial CE"/>
      <family val="2"/>
      <charset val="238"/>
    </font>
    <font>
      <i/>
      <sz val="8"/>
      <name val="Arial"/>
      <family val="2"/>
    </font>
    <font>
      <vertAlign val="superscript"/>
      <sz val="7"/>
      <name val="Arial CE"/>
      <family val="2"/>
      <charset val="238"/>
    </font>
    <font>
      <i/>
      <sz val="8"/>
      <name val="Arial"/>
      <family val="2"/>
      <charset val="238"/>
    </font>
    <font>
      <b/>
      <sz val="14"/>
      <name val="Arial CE"/>
      <family val="2"/>
      <charset val="238"/>
    </font>
    <font>
      <b/>
      <i/>
      <sz val="10"/>
      <name val="Arial CE"/>
      <family val="2"/>
      <charset val="238"/>
    </font>
    <font>
      <i/>
      <sz val="10"/>
      <name val="Arial CE"/>
      <family val="2"/>
      <charset val="238"/>
    </font>
    <font>
      <sz val="6"/>
      <name val="Arial CE"/>
      <family val="2"/>
      <charset val="238"/>
    </font>
    <font>
      <b/>
      <vertAlign val="superscript"/>
      <sz val="10"/>
      <name val="Arial"/>
      <family val="2"/>
    </font>
    <font>
      <sz val="9"/>
      <name val="Arial"/>
      <family val="2"/>
      <charset val="238"/>
    </font>
    <font>
      <b/>
      <i/>
      <sz val="8"/>
      <name val="Arial"/>
      <family val="2"/>
    </font>
    <font>
      <b/>
      <i/>
      <sz val="8"/>
      <name val="Arial CE"/>
      <family val="2"/>
      <charset val="238"/>
    </font>
    <font>
      <b/>
      <i/>
      <vertAlign val="superscript"/>
      <sz val="8"/>
      <name val="Arial CE"/>
      <family val="2"/>
      <charset val="238"/>
    </font>
    <font>
      <b/>
      <i/>
      <sz val="8"/>
      <name val="Arial CE"/>
      <charset val="238"/>
    </font>
    <font>
      <i/>
      <sz val="7"/>
      <name val="Arial"/>
      <family val="2"/>
    </font>
    <font>
      <sz val="7"/>
      <name val="Arial"/>
      <family val="2"/>
    </font>
    <font>
      <vertAlign val="superscript"/>
      <sz val="7"/>
      <name val="Arial"/>
      <family val="2"/>
    </font>
    <font>
      <b/>
      <u/>
      <sz val="12"/>
      <name val="Arial CE"/>
      <family val="2"/>
      <charset val="238"/>
    </font>
    <font>
      <u/>
      <sz val="12"/>
      <name val="Arial"/>
      <family val="2"/>
      <charset val="238"/>
    </font>
    <font>
      <u/>
      <sz val="10"/>
      <color indexed="12"/>
      <name val="Arial"/>
      <family val="2"/>
      <charset val="238"/>
    </font>
    <font>
      <sz val="10"/>
      <name val="Arial"/>
      <family val="2"/>
      <charset val="238"/>
    </font>
    <font>
      <sz val="8"/>
      <color indexed="81"/>
      <name val="Tahoma"/>
      <family val="2"/>
      <charset val="238"/>
    </font>
    <font>
      <b/>
      <sz val="8"/>
      <color indexed="81"/>
      <name val="Tahoma"/>
      <family val="2"/>
      <charset val="238"/>
    </font>
    <font>
      <b/>
      <vertAlign val="superscript"/>
      <sz val="8"/>
      <name val="Arial CE"/>
      <family val="2"/>
      <charset val="238"/>
    </font>
    <font>
      <b/>
      <sz val="9"/>
      <name val="Arial CE"/>
      <charset val="238"/>
    </font>
    <font>
      <b/>
      <sz val="8"/>
      <name val="Arial"/>
      <family val="2"/>
      <charset val="238"/>
    </font>
    <font>
      <vertAlign val="superscript"/>
      <sz val="8"/>
      <name val="Arial CE"/>
      <charset val="238"/>
    </font>
    <font>
      <vertAlign val="superscript"/>
      <sz val="8"/>
      <name val="Arial"/>
      <family val="2"/>
      <charset val="238"/>
    </font>
    <font>
      <b/>
      <sz val="7"/>
      <name val="Arial CE"/>
      <charset val="238"/>
    </font>
    <font>
      <sz val="8"/>
      <color indexed="10"/>
      <name val="Arial"/>
      <family val="2"/>
      <charset val="238"/>
    </font>
    <font>
      <b/>
      <sz val="8"/>
      <color indexed="10"/>
      <name val="Arial"/>
      <family val="2"/>
    </font>
    <font>
      <sz val="9"/>
      <name val="Arial CE"/>
      <charset val="238"/>
    </font>
    <font>
      <b/>
      <sz val="24"/>
      <name val="Arial CE"/>
      <charset val="238"/>
    </font>
    <font>
      <b/>
      <u/>
      <sz val="14"/>
      <name val="Arial CE"/>
      <charset val="238"/>
    </font>
    <font>
      <sz val="14"/>
      <name val="Arial"/>
      <family val="2"/>
      <charset val="238"/>
    </font>
    <font>
      <b/>
      <i/>
      <sz val="10"/>
      <name val="Arial"/>
      <family val="2"/>
      <charset val="238"/>
    </font>
    <font>
      <sz val="8"/>
      <color indexed="10"/>
      <name val="Arial"/>
      <family val="2"/>
      <charset val="238"/>
    </font>
    <font>
      <i/>
      <sz val="10"/>
      <name val="Arial"/>
      <family val="2"/>
      <charset val="238"/>
    </font>
    <font>
      <i/>
      <sz val="8"/>
      <name val="Arial"/>
      <family val="2"/>
      <charset val="238"/>
    </font>
    <font>
      <sz val="7"/>
      <name val="Arial"/>
      <family val="2"/>
      <charset val="238"/>
    </font>
    <font>
      <b/>
      <sz val="22"/>
      <name val="Arial"/>
      <family val="2"/>
      <charset val="238"/>
    </font>
    <font>
      <b/>
      <sz val="14"/>
      <name val="Arial"/>
      <family val="2"/>
      <charset val="238"/>
    </font>
    <font>
      <b/>
      <sz val="11"/>
      <name val="Arial"/>
      <family val="2"/>
      <charset val="238"/>
    </font>
    <font>
      <sz val="22"/>
      <name val="Arial"/>
      <family val="2"/>
      <charset val="238"/>
    </font>
    <font>
      <b/>
      <sz val="8"/>
      <name val="Arial"/>
      <family val="2"/>
      <charset val="238"/>
    </font>
    <font>
      <b/>
      <sz val="10"/>
      <color indexed="10"/>
      <name val="Arial"/>
      <family val="2"/>
      <charset val="238"/>
    </font>
    <font>
      <i/>
      <sz val="8"/>
      <color indexed="10"/>
      <name val="Arial"/>
      <family val="2"/>
      <charset val="238"/>
    </font>
    <font>
      <sz val="10"/>
      <name val="Arial"/>
      <family val="2"/>
      <charset val="238"/>
    </font>
    <font>
      <b/>
      <sz val="9"/>
      <name val="Arial"/>
      <family val="2"/>
      <charset val="238"/>
    </font>
    <font>
      <b/>
      <sz val="18"/>
      <name val="Arial"/>
      <family val="2"/>
      <charset val="238"/>
    </font>
    <font>
      <i/>
      <u/>
      <sz val="10"/>
      <name val="Arial"/>
      <family val="2"/>
      <charset val="238"/>
    </font>
    <font>
      <b/>
      <u/>
      <sz val="10"/>
      <name val="Arial"/>
      <family val="2"/>
      <charset val="238"/>
    </font>
    <font>
      <b/>
      <i/>
      <u/>
      <sz val="8"/>
      <name val="Arial"/>
      <family val="2"/>
      <charset val="238"/>
    </font>
    <font>
      <b/>
      <sz val="14"/>
      <name val="Arial"/>
      <family val="2"/>
    </font>
    <font>
      <b/>
      <sz val="14"/>
      <name val="Arial"/>
      <family val="2"/>
      <charset val="238"/>
    </font>
    <font>
      <b/>
      <sz val="8"/>
      <color indexed="10"/>
      <name val="Arial"/>
      <family val="2"/>
      <charset val="238"/>
    </font>
    <font>
      <sz val="12"/>
      <name val="Arial"/>
      <family val="2"/>
      <charset val="238"/>
    </font>
    <font>
      <b/>
      <sz val="7"/>
      <color indexed="10"/>
      <name val="Arial"/>
      <family val="2"/>
      <charset val="238"/>
    </font>
    <font>
      <b/>
      <i/>
      <sz val="8"/>
      <color indexed="10"/>
      <name val="Arial"/>
      <family val="2"/>
      <charset val="238"/>
    </font>
    <font>
      <sz val="10"/>
      <name val="Arial"/>
      <family val="2"/>
      <charset val="238"/>
    </font>
    <font>
      <i/>
      <sz val="7"/>
      <name val="Arial"/>
      <family val="2"/>
      <charset val="238"/>
    </font>
    <font>
      <sz val="8"/>
      <name val="Arial"/>
      <family val="2"/>
      <charset val="238"/>
    </font>
    <font>
      <sz val="11"/>
      <name val="Courier New"/>
      <family val="3"/>
      <charset val="238"/>
    </font>
    <font>
      <b/>
      <sz val="11"/>
      <name val="Courier New"/>
      <family val="3"/>
      <charset val="238"/>
    </font>
    <font>
      <b/>
      <sz val="18"/>
      <color indexed="10"/>
      <name val="Arial"/>
      <family val="2"/>
      <charset val="238"/>
    </font>
    <font>
      <b/>
      <sz val="20"/>
      <color indexed="10"/>
      <name val="Arial"/>
      <family val="2"/>
      <charset val="238"/>
    </font>
    <font>
      <sz val="11"/>
      <name val="Arial"/>
      <family val="2"/>
      <charset val="238"/>
    </font>
    <font>
      <sz val="7"/>
      <name val="Arial CE"/>
      <charset val="238"/>
    </font>
    <font>
      <sz val="9"/>
      <color indexed="81"/>
      <name val="Tahoma"/>
      <family val="2"/>
      <charset val="238"/>
    </font>
    <font>
      <b/>
      <sz val="9"/>
      <color indexed="81"/>
      <name val="Tahoma"/>
      <family val="2"/>
      <charset val="238"/>
    </font>
    <font>
      <sz val="7"/>
      <color indexed="10"/>
      <name val="Arial"/>
      <family val="2"/>
      <charset val="238"/>
    </font>
    <font>
      <vertAlign val="superscript"/>
      <sz val="7"/>
      <name val="Arial CE"/>
      <charset val="238"/>
    </font>
    <font>
      <sz val="10"/>
      <name val="Arial"/>
      <family val="2"/>
      <charset val="238"/>
    </font>
    <font>
      <u/>
      <sz val="10"/>
      <color indexed="12"/>
      <name val="Arial CE"/>
      <charset val="238"/>
    </font>
    <font>
      <sz val="11"/>
      <color theme="1"/>
      <name val="Tahoma"/>
      <family val="2"/>
      <charset val="238"/>
    </font>
    <font>
      <sz val="11"/>
      <color rgb="FF000000"/>
      <name val="Tahoma"/>
      <family val="2"/>
      <charset val="238"/>
    </font>
    <font>
      <sz val="11"/>
      <color theme="1"/>
      <name val="Tahoma"/>
      <family val="2"/>
      <charset val="238"/>
    </font>
    <font>
      <sz val="11"/>
      <color rgb="FF000000"/>
      <name val="Tahoma"/>
      <family val="2"/>
      <charset val="238"/>
    </font>
    <font>
      <sz val="10"/>
      <name val="Inherit"/>
    </font>
    <font>
      <sz val="9"/>
      <color theme="1"/>
      <name val="Arial"/>
      <family val="2"/>
      <charset val="238"/>
    </font>
    <font>
      <sz val="9"/>
      <color theme="1"/>
      <name val="Arial CE"/>
      <charset val="238"/>
    </font>
    <font>
      <sz val="11"/>
      <name val="Calibri"/>
      <family val="2"/>
      <charset val="238"/>
      <scheme val="minor"/>
    </font>
    <font>
      <sz val="10"/>
      <name val="Tahoma"/>
      <family val="2"/>
      <charset val="238"/>
    </font>
    <font>
      <sz val="10"/>
      <color rgb="FFFF0000"/>
      <name val="Arial"/>
      <family val="2"/>
      <charset val="238"/>
    </font>
    <font>
      <i/>
      <sz val="9"/>
      <color indexed="81"/>
      <name val="Tahoma"/>
      <family val="2"/>
      <charset val="238"/>
    </font>
    <font>
      <sz val="11"/>
      <name val="Arial CE"/>
      <charset val="238"/>
    </font>
    <font>
      <b/>
      <sz val="11"/>
      <name val="Arial CE"/>
      <charset val="238"/>
    </font>
    <font>
      <b/>
      <u/>
      <sz val="11"/>
      <color indexed="12"/>
      <name val="Arial"/>
      <family val="2"/>
      <charset val="238"/>
    </font>
    <font>
      <b/>
      <vertAlign val="superscript"/>
      <sz val="9"/>
      <name val="Arial CE"/>
      <charset val="238"/>
    </font>
    <font>
      <b/>
      <sz val="10"/>
      <color rgb="FFFF0000"/>
      <name val="Arial"/>
      <family val="2"/>
      <charset val="238"/>
    </font>
    <font>
      <b/>
      <sz val="9"/>
      <color rgb="FFFF0000"/>
      <name val="Arial CE"/>
      <charset val="238"/>
    </font>
    <font>
      <b/>
      <sz val="18"/>
      <color theme="1"/>
      <name val="Arial"/>
      <family val="2"/>
      <charset val="238"/>
    </font>
    <font>
      <b/>
      <sz val="11"/>
      <color theme="1"/>
      <name val="Arial"/>
      <family val="2"/>
      <charset val="238"/>
    </font>
    <font>
      <b/>
      <i/>
      <sz val="9"/>
      <color theme="1"/>
      <name val="Arial"/>
      <family val="2"/>
      <charset val="238"/>
    </font>
    <font>
      <b/>
      <sz val="9"/>
      <color theme="1"/>
      <name val="Arial"/>
      <family val="2"/>
      <charset val="238"/>
    </font>
    <font>
      <sz val="8"/>
      <color theme="1"/>
      <name val="Arial"/>
      <family val="2"/>
      <charset val="238"/>
    </font>
    <font>
      <b/>
      <sz val="8"/>
      <color theme="1"/>
      <name val="Arial"/>
      <family val="2"/>
      <charset val="238"/>
    </font>
    <font>
      <sz val="10"/>
      <color theme="3"/>
      <name val="Arial"/>
      <family val="2"/>
      <charset val="238"/>
    </font>
    <font>
      <sz val="9"/>
      <color theme="3"/>
      <name val="Arial CE"/>
      <family val="2"/>
      <charset val="238"/>
    </font>
    <font>
      <b/>
      <sz val="12"/>
      <color theme="1"/>
      <name val="Arial"/>
      <family val="2"/>
      <charset val="238"/>
    </font>
    <font>
      <b/>
      <i/>
      <sz val="9"/>
      <name val="Arial"/>
      <family val="2"/>
      <charset val="238"/>
    </font>
    <font>
      <sz val="10"/>
      <color rgb="FF9C0006"/>
      <name val="Arial"/>
      <family val="2"/>
      <charset val="238"/>
    </font>
    <font>
      <b/>
      <u/>
      <sz val="18"/>
      <name val="Arial"/>
      <family val="2"/>
      <charset val="238"/>
    </font>
    <font>
      <sz val="12"/>
      <name val="Arial CE"/>
      <charset val="238"/>
    </font>
    <font>
      <b/>
      <i/>
      <sz val="12"/>
      <name val="Arial CE"/>
      <charset val="238"/>
    </font>
    <font>
      <i/>
      <sz val="12"/>
      <name val="Arial CE"/>
      <charset val="238"/>
    </font>
    <font>
      <b/>
      <u/>
      <sz val="12"/>
      <name val="Arial CE"/>
      <charset val="238"/>
    </font>
    <font>
      <b/>
      <u/>
      <sz val="12"/>
      <color indexed="12"/>
      <name val="Arial"/>
      <family val="2"/>
      <charset val="238"/>
    </font>
    <font>
      <i/>
      <sz val="7"/>
      <color indexed="10"/>
      <name val="Arial"/>
      <family val="2"/>
      <charset val="238"/>
    </font>
    <font>
      <b/>
      <sz val="7"/>
      <name val="Arial"/>
      <family val="2"/>
      <charset val="238"/>
    </font>
    <font>
      <sz val="8"/>
      <color rgb="FFFF0000"/>
      <name val="Arial"/>
      <family val="2"/>
      <charset val="238"/>
    </font>
    <font>
      <b/>
      <sz val="18"/>
      <color rgb="FFFF0000"/>
      <name val="Arial"/>
      <family val="2"/>
      <charset val="238"/>
    </font>
    <font>
      <b/>
      <sz val="20"/>
      <color rgb="FFFF0000"/>
      <name val="Arial"/>
      <family val="2"/>
      <charset val="238"/>
    </font>
    <font>
      <b/>
      <sz val="9"/>
      <color rgb="FFFF0000"/>
      <name val="Arial"/>
      <family val="2"/>
      <charset val="238"/>
    </font>
    <font>
      <sz val="9"/>
      <color rgb="FFFF0000"/>
      <name val="Arial"/>
      <family val="2"/>
      <charset val="238"/>
    </font>
    <font>
      <b/>
      <sz val="8"/>
      <color rgb="FFFF0000"/>
      <name val="Arial"/>
      <family val="2"/>
      <charset val="238"/>
    </font>
    <font>
      <b/>
      <sz val="7"/>
      <color rgb="FFFF0000"/>
      <name val="Arial"/>
      <family val="2"/>
      <charset val="238"/>
    </font>
    <font>
      <sz val="7"/>
      <color rgb="FFFF0000"/>
      <name val="Arial"/>
      <family val="2"/>
      <charset val="238"/>
    </font>
    <font>
      <i/>
      <sz val="8"/>
      <color rgb="FFFF0000"/>
      <name val="Arial"/>
      <family val="2"/>
      <charset val="238"/>
    </font>
    <font>
      <i/>
      <sz val="7"/>
      <color rgb="FFFF0000"/>
      <name val="Arial"/>
      <family val="2"/>
      <charset val="238"/>
    </font>
    <font>
      <b/>
      <sz val="10"/>
      <color theme="0"/>
      <name val="Arial"/>
      <family val="2"/>
      <charset val="238"/>
    </font>
    <font>
      <sz val="10"/>
      <color theme="0"/>
      <name val="Arial"/>
      <family val="2"/>
      <charset val="238"/>
    </font>
    <font>
      <b/>
      <sz val="11"/>
      <color rgb="FFFF0000"/>
      <name val="Arial"/>
      <family val="2"/>
      <charset val="238"/>
    </font>
    <font>
      <sz val="11"/>
      <color rgb="FFFF0000"/>
      <name val="Arial"/>
      <family val="2"/>
      <charset val="238"/>
    </font>
    <font>
      <b/>
      <sz val="8"/>
      <color rgb="FFFF0000"/>
      <name val="Arial CE"/>
      <charset val="238"/>
    </font>
    <font>
      <vertAlign val="superscript"/>
      <sz val="10"/>
      <name val="Arial CE"/>
      <charset val="238"/>
    </font>
    <font>
      <vertAlign val="superscript"/>
      <sz val="10"/>
      <name val="Arial"/>
      <family val="2"/>
      <charset val="238"/>
    </font>
    <font>
      <b/>
      <i/>
      <sz val="9"/>
      <name val="Arial CE"/>
      <family val="2"/>
      <charset val="238"/>
    </font>
    <font>
      <i/>
      <sz val="10"/>
      <name val="Arial CE"/>
      <charset val="238"/>
    </font>
    <font>
      <sz val="11"/>
      <color indexed="10"/>
      <name val="Courier New"/>
      <family val="3"/>
      <charset val="238"/>
    </font>
    <font>
      <b/>
      <sz val="12"/>
      <color rgb="FFFF0000"/>
      <name val="Arial CE"/>
      <charset val="238"/>
    </font>
    <font>
      <b/>
      <u/>
      <sz val="11"/>
      <name val="Arial CE"/>
      <charset val="238"/>
    </font>
    <font>
      <u/>
      <sz val="11"/>
      <name val="Arial CE"/>
      <charset val="238"/>
    </font>
    <font>
      <b/>
      <sz val="11"/>
      <color rgb="FF3399FF"/>
      <name val="Arial CE"/>
      <charset val="238"/>
    </font>
    <font>
      <i/>
      <sz val="9"/>
      <color theme="1"/>
      <name val="Arial"/>
      <family val="2"/>
      <charset val="238"/>
    </font>
    <font>
      <vertAlign val="superscript"/>
      <sz val="9"/>
      <color theme="1"/>
      <name val="Arial"/>
      <family val="2"/>
      <charset val="238"/>
    </font>
    <font>
      <vertAlign val="superscript"/>
      <sz val="8"/>
      <color theme="1"/>
      <name val="Arial"/>
      <family val="2"/>
      <charset val="238"/>
    </font>
  </fonts>
  <fills count="3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32"/>
      </patternFill>
    </fill>
    <fill>
      <patternFill patternType="solid">
        <fgColor indexed="8"/>
        <bgColor indexed="32"/>
      </patternFill>
    </fill>
    <fill>
      <patternFill patternType="solid">
        <fgColor indexed="9"/>
        <bgColor indexed="32"/>
      </patternFill>
    </fill>
    <fill>
      <patternFill patternType="solid">
        <fgColor indexed="9"/>
        <bgColor indexed="9"/>
      </patternFill>
    </fill>
    <fill>
      <patternFill patternType="solid">
        <fgColor indexed="26"/>
        <bgColor indexed="64"/>
      </patternFill>
    </fill>
    <fill>
      <patternFill patternType="solid">
        <fgColor indexed="47"/>
        <bgColor indexed="32"/>
      </patternFill>
    </fill>
    <fill>
      <patternFill patternType="solid">
        <fgColor indexed="43"/>
        <bgColor indexed="32"/>
      </patternFill>
    </fill>
    <fill>
      <patternFill patternType="solid">
        <fgColor indexed="24"/>
        <bgColor indexed="32"/>
      </patternFill>
    </fill>
    <fill>
      <patternFill patternType="solid">
        <fgColor indexed="9"/>
        <bgColor indexed="22"/>
      </patternFill>
    </fill>
    <fill>
      <patternFill patternType="solid">
        <fgColor indexed="61"/>
        <bgColor indexed="32"/>
      </patternFill>
    </fill>
    <fill>
      <patternFill patternType="solid">
        <fgColor indexed="31"/>
        <bgColor indexed="32"/>
      </patternFill>
    </fill>
    <fill>
      <patternFill patternType="solid">
        <fgColor indexed="29"/>
        <bgColor indexed="32"/>
      </patternFill>
    </fill>
    <fill>
      <patternFill patternType="solid">
        <fgColor rgb="FFFFFF00"/>
        <bgColor indexed="64"/>
      </patternFill>
    </fill>
    <fill>
      <patternFill patternType="solid">
        <fgColor rgb="FFFFFF99"/>
        <bgColor indexed="32"/>
      </patternFill>
    </fill>
    <fill>
      <patternFill patternType="solid">
        <fgColor theme="0"/>
        <bgColor indexed="64"/>
      </patternFill>
    </fill>
    <fill>
      <patternFill patternType="solid">
        <fgColor rgb="FFFF0000"/>
        <bgColor indexed="64"/>
      </patternFill>
    </fill>
    <fill>
      <patternFill patternType="solid">
        <fgColor theme="0" tint="-0.24994659260841701"/>
        <bgColor indexed="64"/>
      </patternFill>
    </fill>
    <fill>
      <patternFill patternType="solid">
        <fgColor rgb="FFFFCCCC"/>
        <bgColor indexed="64"/>
      </patternFill>
    </fill>
    <fill>
      <patternFill patternType="solid">
        <fgColor theme="0"/>
        <bgColor indexed="32"/>
      </patternFill>
    </fill>
    <fill>
      <patternFill patternType="solid">
        <fgColor theme="0"/>
        <bgColor indexed="22"/>
      </patternFill>
    </fill>
    <fill>
      <patternFill patternType="solid">
        <fgColor theme="2"/>
        <bgColor indexed="64"/>
      </patternFill>
    </fill>
    <fill>
      <patternFill patternType="solid">
        <fgColor rgb="FFFFC7CE"/>
      </patternFill>
    </fill>
    <fill>
      <patternFill patternType="solid">
        <fgColor theme="0" tint="-4.9989318521683403E-2"/>
        <bgColor indexed="64"/>
      </patternFill>
    </fill>
    <fill>
      <patternFill patternType="solid">
        <fgColor rgb="FFFF9999"/>
        <bgColor indexed="32"/>
      </patternFill>
    </fill>
    <fill>
      <patternFill patternType="solid">
        <fgColor rgb="FFFF9999"/>
        <bgColor indexed="64"/>
      </patternFill>
    </fill>
    <fill>
      <patternFill patternType="solid">
        <fgColor rgb="FFFFFFCC"/>
        <bgColor indexed="64"/>
      </patternFill>
    </fill>
    <fill>
      <patternFill patternType="solid">
        <fgColor rgb="FFFFFFCC"/>
        <bgColor indexed="32"/>
      </patternFill>
    </fill>
    <fill>
      <patternFill patternType="solid">
        <fgColor rgb="FFFFFFCC"/>
        <bgColor indexed="22"/>
      </patternFill>
    </fill>
    <fill>
      <patternFill patternType="solid">
        <fgColor rgb="FFFFFF00"/>
        <bgColor indexed="32"/>
      </patternFill>
    </fill>
    <fill>
      <patternFill patternType="solid">
        <fgColor theme="0" tint="-0.14999847407452621"/>
        <bgColor indexed="32"/>
      </patternFill>
    </fill>
    <fill>
      <patternFill patternType="solid">
        <fgColor theme="0" tint="-0.14999847407452621"/>
        <bgColor indexed="64"/>
      </patternFill>
    </fill>
    <fill>
      <patternFill patternType="solid">
        <fgColor rgb="FFFFCCCC"/>
        <bgColor indexed="32"/>
      </patternFill>
    </fill>
    <fill>
      <patternFill patternType="solid">
        <fgColor theme="0" tint="-0.24994659260841701"/>
        <bgColor indexed="32"/>
      </patternFill>
    </fill>
  </fills>
  <borders count="177">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right style="thin">
        <color indexed="10"/>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thin">
        <color indexed="10"/>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top/>
      <bottom style="hair">
        <color indexed="64"/>
      </bottom>
      <diagonal/>
    </border>
    <border>
      <left/>
      <right/>
      <top/>
      <bottom style="thin">
        <color indexed="10"/>
      </bottom>
      <diagonal/>
    </border>
    <border>
      <left/>
      <right/>
      <top style="hair">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diagonal/>
    </border>
    <border>
      <left/>
      <right style="thin">
        <color indexed="10"/>
      </right>
      <top/>
      <bottom style="thin">
        <color indexed="10"/>
      </bottom>
      <diagonal/>
    </border>
    <border>
      <left/>
      <right style="thin">
        <color indexed="10"/>
      </right>
      <top style="thin">
        <color indexed="10"/>
      </top>
      <bottom/>
      <diagonal/>
    </border>
    <border>
      <left style="thin">
        <color indexed="10"/>
      </left>
      <right/>
      <top/>
      <bottom style="thin">
        <color indexed="1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9"/>
      </top>
      <bottom style="thin">
        <color indexed="59"/>
      </bottom>
      <diagonal/>
    </border>
    <border>
      <left/>
      <right/>
      <top/>
      <bottom style="thin">
        <color indexed="59"/>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10"/>
      </left>
      <right/>
      <top style="thin">
        <color indexed="10"/>
      </top>
      <bottom/>
      <diagonal/>
    </border>
    <border>
      <left/>
      <right/>
      <top style="thin">
        <color indexed="1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10"/>
      </top>
      <bottom style="thin">
        <color indexed="10"/>
      </bottom>
      <diagonal/>
    </border>
    <border>
      <left style="thin">
        <color rgb="FFFF0000"/>
      </left>
      <right style="thin">
        <color rgb="FFFF0000"/>
      </right>
      <top/>
      <bottom style="thin">
        <color rgb="FFFF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10"/>
      </left>
      <right/>
      <top/>
      <bottom/>
      <diagonal/>
    </border>
    <border>
      <left style="thin">
        <color indexed="10"/>
      </left>
      <right style="thin">
        <color auto="1"/>
      </right>
      <top style="thin">
        <color auto="1"/>
      </top>
      <bottom style="thin">
        <color auto="1"/>
      </bottom>
      <diagonal/>
    </border>
    <border>
      <left/>
      <right style="thin">
        <color indexed="10"/>
      </right>
      <top/>
      <bottom style="thin">
        <color auto="1"/>
      </bottom>
      <diagonal/>
    </border>
    <border>
      <left style="thin">
        <color auto="1"/>
      </left>
      <right style="thin">
        <color indexed="10"/>
      </right>
      <top style="thin">
        <color auto="1"/>
      </top>
      <bottom style="thin">
        <color auto="1"/>
      </bottom>
      <diagonal/>
    </border>
    <border>
      <left style="thin">
        <color auto="1"/>
      </left>
      <right/>
      <top style="thin">
        <color indexed="10"/>
      </top>
      <bottom style="thin">
        <color indexed="10"/>
      </bottom>
      <diagonal/>
    </border>
    <border>
      <left/>
      <right style="thin">
        <color auto="1"/>
      </right>
      <top style="thin">
        <color indexed="1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style="thin">
        <color auto="1"/>
      </right>
      <top/>
      <bottom/>
      <diagonal/>
    </border>
    <border>
      <left/>
      <right style="thin">
        <color indexed="64"/>
      </right>
      <top/>
      <bottom style="thin">
        <color indexed="64"/>
      </bottom>
      <diagonal/>
    </border>
    <border>
      <left style="thin">
        <color rgb="FFFF0000"/>
      </left>
      <right style="thin">
        <color rgb="FFFF0000"/>
      </right>
      <top/>
      <bottom/>
      <diagonal/>
    </border>
    <border>
      <left style="thin">
        <color indexed="10"/>
      </left>
      <right/>
      <top/>
      <bottom style="thin">
        <color auto="1"/>
      </bottom>
      <diagonal/>
    </border>
    <border>
      <left style="thin">
        <color theme="1"/>
      </left>
      <right style="thin">
        <color theme="1"/>
      </right>
      <top style="thin">
        <color theme="1"/>
      </top>
      <bottom style="thin">
        <color theme="1"/>
      </bottom>
      <diagonal/>
    </border>
    <border>
      <left style="thin">
        <color indexed="10"/>
      </left>
      <right/>
      <top style="thin">
        <color indexed="10"/>
      </top>
      <bottom/>
      <diagonal/>
    </border>
    <border>
      <left style="thin">
        <color auto="1"/>
      </left>
      <right style="thin">
        <color auto="1"/>
      </right>
      <top style="thin">
        <color auto="1"/>
      </top>
      <bottom style="thin">
        <color auto="1"/>
      </bottom>
      <diagonal/>
    </border>
    <border>
      <left style="thin">
        <color auto="1"/>
      </left>
      <right/>
      <top style="thin">
        <color indexed="10"/>
      </top>
      <bottom/>
      <diagonal/>
    </border>
    <border>
      <left/>
      <right/>
      <top style="thin">
        <color indexed="1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52"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5" fillId="0" borderId="0"/>
    <xf numFmtId="0" fontId="5" fillId="0" borderId="0"/>
    <xf numFmtId="0" fontId="106" fillId="0" borderId="0" applyNumberFormat="0" applyFill="0" applyBorder="0" applyAlignment="0" applyProtection="0">
      <alignment vertical="top"/>
      <protection locked="0"/>
    </xf>
    <xf numFmtId="0" fontId="3" fillId="0" borderId="0"/>
    <xf numFmtId="0" fontId="1" fillId="0" borderId="0"/>
    <xf numFmtId="0" fontId="134" fillId="26" borderId="0" applyNumberFormat="0" applyBorder="0" applyAlignment="0" applyProtection="0"/>
    <xf numFmtId="0" fontId="3" fillId="0" borderId="0" applyNumberFormat="0" applyFill="0" applyBorder="0" applyAlignment="0" applyProtection="0"/>
  </cellStyleXfs>
  <cellXfs count="2356">
    <xf numFmtId="0" fontId="0" fillId="0" borderId="0" xfId="0"/>
    <xf numFmtId="0" fontId="19" fillId="0" borderId="0" xfId="0" applyFont="1"/>
    <xf numFmtId="0" fontId="0" fillId="2" borderId="0" xfId="0" applyFill="1"/>
    <xf numFmtId="0" fontId="5" fillId="2" borderId="0" xfId="0" applyFont="1" applyFill="1"/>
    <xf numFmtId="0" fontId="6" fillId="2" borderId="0" xfId="0" applyFont="1" applyFill="1"/>
    <xf numFmtId="0" fontId="16" fillId="2" borderId="0" xfId="0" applyFont="1" applyFill="1"/>
    <xf numFmtId="0" fontId="19" fillId="2" borderId="0" xfId="0" applyFont="1" applyFill="1"/>
    <xf numFmtId="0" fontId="8" fillId="3" borderId="1" xfId="0" applyFont="1" applyFill="1" applyBorder="1" applyAlignment="1">
      <alignment horizontal="center"/>
    </xf>
    <xf numFmtId="0" fontId="5" fillId="2" borderId="3" xfId="0" applyFont="1" applyFill="1" applyBorder="1" applyAlignment="1" applyProtection="1">
      <alignment horizontal="center"/>
      <protection locked="0"/>
    </xf>
    <xf numFmtId="0" fontId="13"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1" fillId="2" borderId="0" xfId="0" applyFont="1" applyFill="1"/>
    <xf numFmtId="0" fontId="0" fillId="4" borderId="0" xfId="0" applyFill="1"/>
    <xf numFmtId="0" fontId="0" fillId="5" borderId="0" xfId="0" applyFill="1"/>
    <xf numFmtId="0" fontId="5" fillId="4" borderId="0" xfId="0" applyFont="1" applyFill="1"/>
    <xf numFmtId="0" fontId="6" fillId="4" borderId="0" xfId="0" applyFont="1" applyFill="1" applyAlignment="1">
      <alignment horizontal="right"/>
    </xf>
    <xf numFmtId="16" fontId="5" fillId="4" borderId="0" xfId="0" applyNumberFormat="1" applyFont="1" applyFill="1" applyAlignment="1">
      <alignment horizontal="center"/>
    </xf>
    <xf numFmtId="0" fontId="24" fillId="6" borderId="2" xfId="0" applyFont="1" applyFill="1" applyBorder="1" applyAlignment="1">
      <alignment horizontal="center"/>
    </xf>
    <xf numFmtId="0" fontId="24" fillId="6" borderId="1"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49" fontId="25" fillId="2" borderId="2" xfId="0" applyNumberFormat="1" applyFont="1" applyFill="1" applyBorder="1" applyAlignment="1" applyProtection="1">
      <alignment horizontal="center"/>
      <protection locked="0"/>
    </xf>
    <xf numFmtId="49" fontId="26"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wrapText="1"/>
    </xf>
    <xf numFmtId="0" fontId="24" fillId="7" borderId="12" xfId="0" applyFont="1" applyFill="1" applyBorder="1" applyAlignment="1">
      <alignment vertical="top"/>
    </xf>
    <xf numFmtId="0" fontId="24" fillId="7" borderId="13" xfId="0" applyFont="1" applyFill="1" applyBorder="1" applyAlignment="1">
      <alignment vertical="top"/>
    </xf>
    <xf numFmtId="10" fontId="0" fillId="7" borderId="14" xfId="0" applyNumberFormat="1" applyFill="1" applyBorder="1" applyAlignment="1" applyProtection="1">
      <alignment horizontal="right"/>
      <protection locked="0"/>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5" xfId="0" applyFont="1" applyFill="1" applyBorder="1" applyAlignment="1">
      <alignment horizontal="center" vertical="center"/>
    </xf>
    <xf numFmtId="0" fontId="0" fillId="8" borderId="0" xfId="0" applyFill="1"/>
    <xf numFmtId="0" fontId="5" fillId="8" borderId="0" xfId="0" applyFont="1" applyFill="1"/>
    <xf numFmtId="0" fontId="30"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38"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xf numFmtId="0" fontId="39" fillId="9" borderId="8" xfId="0" applyFont="1" applyFill="1" applyBorder="1"/>
    <xf numFmtId="0" fontId="39" fillId="9" borderId="25" xfId="0" applyFont="1" applyFill="1" applyBorder="1"/>
    <xf numFmtId="0" fontId="38" fillId="9" borderId="15" xfId="0" applyFont="1" applyFill="1" applyBorder="1"/>
    <xf numFmtId="3" fontId="25" fillId="7" borderId="2" xfId="0" applyNumberFormat="1" applyFont="1" applyFill="1" applyBorder="1" applyAlignment="1">
      <alignment horizontal="center" vertical="center"/>
    </xf>
    <xf numFmtId="3" fontId="25" fillId="7" borderId="3" xfId="0" applyNumberFormat="1" applyFont="1" applyFill="1" applyBorder="1" applyAlignment="1">
      <alignment horizontal="center" vertical="center"/>
    </xf>
    <xf numFmtId="0" fontId="25" fillId="3" borderId="1" xfId="0" applyFont="1" applyFill="1" applyBorder="1" applyAlignment="1">
      <alignment horizontal="left"/>
    </xf>
    <xf numFmtId="0" fontId="20" fillId="3" borderId="0" xfId="0" applyFont="1" applyFill="1" applyAlignment="1">
      <alignment horizontal="right"/>
    </xf>
    <xf numFmtId="0" fontId="27" fillId="3" borderId="0" xfId="0" applyFont="1" applyFill="1" applyAlignment="1">
      <alignment horizontal="center"/>
    </xf>
    <xf numFmtId="0" fontId="13" fillId="3" borderId="0" xfId="0" applyFont="1" applyFill="1" applyAlignment="1">
      <alignment horizontal="left"/>
    </xf>
    <xf numFmtId="0" fontId="20" fillId="2" borderId="2" xfId="0" applyFont="1" applyFill="1" applyBorder="1" applyAlignment="1" applyProtection="1">
      <alignment horizontal="center" vertical="center"/>
      <protection locked="0"/>
    </xf>
    <xf numFmtId="0" fontId="13" fillId="3" borderId="0" xfId="0" applyFont="1" applyFill="1" applyAlignment="1">
      <alignment horizontal="center" wrapText="1"/>
    </xf>
    <xf numFmtId="0" fontId="13"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8" fillId="3" borderId="15" xfId="0" applyFont="1" applyFill="1" applyBorder="1" applyAlignment="1">
      <alignment horizontal="center" vertical="center"/>
    </xf>
    <xf numFmtId="0" fontId="13" fillId="3" borderId="26" xfId="0" applyFont="1" applyFill="1" applyBorder="1" applyAlignment="1">
      <alignment horizontal="center"/>
    </xf>
    <xf numFmtId="0" fontId="8" fillId="3" borderId="15" xfId="0" applyFont="1" applyFill="1" applyBorder="1" applyAlignment="1">
      <alignment horizontal="center" vertical="center" wrapText="1"/>
    </xf>
    <xf numFmtId="3" fontId="25" fillId="7" borderId="1" xfId="0" applyNumberFormat="1" applyFont="1" applyFill="1" applyBorder="1" applyAlignment="1">
      <alignment horizontal="center" vertical="center"/>
    </xf>
    <xf numFmtId="3" fontId="13" fillId="6" borderId="27" xfId="0" applyNumberFormat="1" applyFont="1" applyFill="1" applyBorder="1" applyAlignment="1">
      <alignment horizontal="center" vertical="center" wrapText="1" shrinkToFit="1"/>
    </xf>
    <xf numFmtId="0" fontId="11" fillId="6" borderId="6" xfId="0" applyFont="1" applyFill="1" applyBorder="1" applyAlignment="1">
      <alignment horizontal="center" wrapText="1" shrinkToFit="1"/>
    </xf>
    <xf numFmtId="0" fontId="13" fillId="3" borderId="16" xfId="0" applyFont="1" applyFill="1" applyBorder="1" applyAlignment="1">
      <alignment horizontal="center" vertical="center"/>
    </xf>
    <xf numFmtId="0" fontId="36" fillId="0" borderId="0" xfId="0" applyFont="1"/>
    <xf numFmtId="0" fontId="36" fillId="7" borderId="0" xfId="0" applyFont="1" applyFill="1"/>
    <xf numFmtId="0" fontId="13" fillId="3" borderId="28" xfId="0" applyFont="1" applyFill="1" applyBorder="1" applyAlignment="1">
      <alignment horizontal="center" vertical="center"/>
    </xf>
    <xf numFmtId="0" fontId="25" fillId="3" borderId="29" xfId="0" applyFont="1" applyFill="1" applyBorder="1" applyAlignment="1">
      <alignment horizontal="left"/>
    </xf>
    <xf numFmtId="0" fontId="25" fillId="3" borderId="21" xfId="0" applyFont="1" applyFill="1" applyBorder="1" applyAlignment="1">
      <alignment horizontal="left"/>
    </xf>
    <xf numFmtId="0" fontId="13" fillId="3" borderId="1" xfId="0" applyFont="1" applyFill="1" applyBorder="1" applyAlignment="1">
      <alignment horizontal="center"/>
    </xf>
    <xf numFmtId="0" fontId="0" fillId="6" borderId="30" xfId="0" applyFill="1" applyBorder="1"/>
    <xf numFmtId="0" fontId="8" fillId="3" borderId="10" xfId="0" applyFont="1" applyFill="1" applyBorder="1" applyAlignment="1">
      <alignment horizontal="center"/>
    </xf>
    <xf numFmtId="0" fontId="25" fillId="7" borderId="2"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3" fontId="25" fillId="7" borderId="9" xfId="0" applyNumberFormat="1" applyFont="1" applyFill="1" applyBorder="1" applyAlignment="1">
      <alignment horizontal="center" vertical="center"/>
    </xf>
    <xf numFmtId="49" fontId="0" fillId="7" borderId="31" xfId="0" applyNumberFormat="1" applyFill="1" applyBorder="1" applyAlignment="1" applyProtection="1">
      <alignment horizontal="right"/>
      <protection locked="0"/>
    </xf>
    <xf numFmtId="49" fontId="3" fillId="7" borderId="2" xfId="0" applyNumberFormat="1" applyFont="1" applyFill="1" applyBorder="1" applyAlignment="1" applyProtection="1">
      <alignment horizontal="center"/>
      <protection locked="0"/>
    </xf>
    <xf numFmtId="49" fontId="53" fillId="7" borderId="2" xfId="0" applyNumberFormat="1" applyFont="1" applyFill="1" applyBorder="1" applyAlignment="1" applyProtection="1">
      <alignment horizontal="center"/>
      <protection locked="0"/>
    </xf>
    <xf numFmtId="10" fontId="53" fillId="7" borderId="2" xfId="0" applyNumberFormat="1" applyFont="1" applyFill="1" applyBorder="1" applyAlignment="1" applyProtection="1">
      <alignment horizontal="center"/>
      <protection locked="0"/>
    </xf>
    <xf numFmtId="10" fontId="53" fillId="7" borderId="1" xfId="0" applyNumberFormat="1" applyFont="1" applyFill="1" applyBorder="1" applyAlignment="1" applyProtection="1">
      <alignment horizontal="center"/>
      <protection locked="0"/>
    </xf>
    <xf numFmtId="49" fontId="53" fillId="7" borderId="3" xfId="0" applyNumberFormat="1" applyFont="1" applyFill="1" applyBorder="1" applyAlignment="1" applyProtection="1">
      <alignment horizontal="center"/>
      <protection locked="0"/>
    </xf>
    <xf numFmtId="0" fontId="2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0" fillId="5" borderId="0" xfId="0" applyFill="1" applyAlignment="1">
      <alignment wrapText="1"/>
    </xf>
    <xf numFmtId="0" fontId="18" fillId="2" borderId="19" xfId="0" applyFont="1" applyFill="1" applyBorder="1"/>
    <xf numFmtId="0" fontId="0" fillId="7" borderId="32" xfId="0" applyFill="1" applyBorder="1"/>
    <xf numFmtId="0" fontId="5" fillId="3"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4" fillId="6" borderId="20" xfId="0" applyFont="1" applyFill="1" applyBorder="1" applyAlignment="1">
      <alignment vertical="center"/>
    </xf>
    <xf numFmtId="3" fontId="2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27"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lignment horizontal="center" vertical="center"/>
    </xf>
    <xf numFmtId="0" fontId="14" fillId="3" borderId="0" xfId="0" applyFont="1" applyFill="1" applyAlignment="1">
      <alignment wrapText="1" shrinkToFit="1"/>
    </xf>
    <xf numFmtId="0" fontId="8" fillId="3" borderId="4" xfId="0" applyFont="1" applyFill="1" applyBorder="1" applyAlignment="1">
      <alignment horizontal="center" vertical="center"/>
    </xf>
    <xf numFmtId="0" fontId="13" fillId="3" borderId="27" xfId="0" applyFont="1" applyFill="1" applyBorder="1" applyAlignment="1">
      <alignment horizontal="center" wrapText="1"/>
    </xf>
    <xf numFmtId="0" fontId="13"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0" fillId="0" borderId="0" xfId="0" applyAlignment="1">
      <alignment wrapText="1"/>
    </xf>
    <xf numFmtId="0" fontId="11" fillId="6" borderId="37" xfId="0" applyFont="1" applyFill="1" applyBorder="1" applyAlignment="1">
      <alignment horizontal="right" vertical="center" wrapText="1"/>
    </xf>
    <xf numFmtId="0" fontId="0" fillId="10" borderId="0" xfId="0" applyFill="1"/>
    <xf numFmtId="0" fontId="63" fillId="10" borderId="0" xfId="0" applyFont="1" applyFill="1"/>
    <xf numFmtId="0" fontId="63" fillId="5" borderId="0" xfId="0" applyFont="1" applyFill="1"/>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14" fontId="13" fillId="3" borderId="0" xfId="0" applyNumberFormat="1" applyFont="1" applyFill="1" applyAlignment="1">
      <alignment horizontal="right"/>
    </xf>
    <xf numFmtId="49" fontId="5" fillId="2" borderId="0" xfId="0" applyNumberFormat="1" applyFont="1" applyFill="1" applyAlignment="1">
      <alignment horizontal="center"/>
    </xf>
    <xf numFmtId="49" fontId="0" fillId="7" borderId="0" xfId="0" applyNumberFormat="1" applyFill="1" applyAlignment="1">
      <alignment horizontal="center"/>
    </xf>
    <xf numFmtId="0" fontId="25" fillId="6" borderId="2" xfId="0" applyFont="1" applyFill="1" applyBorder="1" applyAlignment="1">
      <alignment vertical="center"/>
    </xf>
    <xf numFmtId="0" fontId="25" fillId="6" borderId="38" xfId="0" applyFont="1" applyFill="1" applyBorder="1" applyAlignment="1">
      <alignment vertical="center"/>
    </xf>
    <xf numFmtId="0" fontId="25" fillId="6" borderId="3" xfId="0" applyFont="1" applyFill="1" applyBorder="1" applyAlignment="1">
      <alignment vertical="center"/>
    </xf>
    <xf numFmtId="0" fontId="26" fillId="7" borderId="39" xfId="0" applyFont="1" applyFill="1" applyBorder="1" applyAlignment="1" applyProtection="1">
      <alignment horizontal="center"/>
      <protection locked="0"/>
    </xf>
    <xf numFmtId="0" fontId="13" fillId="3" borderId="40" xfId="0" applyFont="1" applyFill="1" applyBorder="1" applyAlignment="1">
      <alignment wrapText="1"/>
    </xf>
    <xf numFmtId="0" fontId="24" fillId="6" borderId="40" xfId="0" applyFont="1" applyFill="1" applyBorder="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5" fillId="2" borderId="39" xfId="0" applyFont="1" applyFill="1" applyBorder="1" applyAlignment="1" applyProtection="1">
      <alignment horizontal="center" wrapText="1"/>
      <protection locked="0"/>
    </xf>
    <xf numFmtId="0" fontId="25" fillId="2" borderId="41" xfId="0" applyFont="1" applyFill="1" applyBorder="1" applyAlignment="1" applyProtection="1">
      <alignment horizontal="center" wrapText="1"/>
      <protection locked="0"/>
    </xf>
    <xf numFmtId="3" fontId="5" fillId="3" borderId="0" xfId="0" applyNumberFormat="1" applyFont="1" applyFill="1" applyAlignment="1">
      <alignment horizontal="center"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20" fillId="2" borderId="2" xfId="0" applyNumberFormat="1" applyFont="1" applyFill="1" applyBorder="1"/>
    <xf numFmtId="4" fontId="20"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20" fillId="2" borderId="29" xfId="0" applyNumberFormat="1" applyFont="1" applyFill="1" applyBorder="1"/>
    <xf numFmtId="4" fontId="5" fillId="2" borderId="9" xfId="0" applyNumberFormat="1" applyFont="1" applyFill="1" applyBorder="1"/>
    <xf numFmtId="4" fontId="5" fillId="9" borderId="46" xfId="0" applyNumberFormat="1" applyFont="1" applyFill="1" applyBorder="1"/>
    <xf numFmtId="0" fontId="27"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72" fillId="7" borderId="0" xfId="0" applyFont="1" applyFill="1"/>
    <xf numFmtId="0" fontId="72" fillId="0" borderId="0" xfId="0" applyFont="1"/>
    <xf numFmtId="10" fontId="25" fillId="2" borderId="2" xfId="0" applyNumberFormat="1" applyFont="1" applyFill="1" applyBorder="1" applyAlignment="1">
      <alignment horizontal="center" vertical="center"/>
    </xf>
    <xf numFmtId="0" fontId="6" fillId="3" borderId="0" xfId="0" applyFont="1" applyFill="1" applyAlignment="1">
      <alignment horizontal="center" vertical="center"/>
    </xf>
    <xf numFmtId="14" fontId="20" fillId="2" borderId="2" xfId="0" applyNumberFormat="1" applyFont="1" applyFill="1" applyBorder="1" applyAlignment="1" applyProtection="1">
      <alignment horizontal="center" vertical="center"/>
      <protection locked="0"/>
    </xf>
    <xf numFmtId="0" fontId="67" fillId="5" borderId="0" xfId="0" applyFont="1" applyFill="1"/>
    <xf numFmtId="0" fontId="67" fillId="0" borderId="0" xfId="0" applyFont="1"/>
    <xf numFmtId="0" fontId="74" fillId="7" borderId="41" xfId="0" applyFont="1" applyFill="1" applyBorder="1" applyAlignment="1">
      <alignment horizontal="center" vertical="center"/>
    </xf>
    <xf numFmtId="0" fontId="0" fillId="0" borderId="41" xfId="0" applyBorder="1" applyAlignment="1">
      <alignment vertical="center"/>
    </xf>
    <xf numFmtId="0" fontId="74" fillId="7" borderId="2" xfId="0" applyFont="1" applyFill="1" applyBorder="1" applyAlignment="1">
      <alignment horizontal="center" vertical="center"/>
    </xf>
    <xf numFmtId="0" fontId="68" fillId="2" borderId="0" xfId="0" applyFont="1" applyFill="1"/>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71" fillId="7" borderId="0" xfId="0" applyFont="1" applyFill="1" applyAlignment="1">
      <alignment horizontal="center" vertical="center"/>
    </xf>
    <xf numFmtId="0" fontId="83" fillId="5" borderId="0" xfId="0" applyFont="1" applyFill="1"/>
    <xf numFmtId="0" fontId="16" fillId="7" borderId="0" xfId="0" applyFont="1" applyFill="1" applyAlignment="1">
      <alignment horizontal="center" vertical="center"/>
    </xf>
    <xf numFmtId="0" fontId="84"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Alignment="1" applyProtection="1">
      <alignment vertical="center"/>
      <protection locked="0"/>
    </xf>
    <xf numFmtId="0" fontId="83" fillId="7" borderId="0" xfId="0" applyFont="1" applyFill="1" applyAlignment="1">
      <alignment vertical="center"/>
    </xf>
    <xf numFmtId="0" fontId="83" fillId="7" borderId="0" xfId="0" applyFont="1" applyFill="1" applyAlignment="1">
      <alignment horizontal="right" vertical="center"/>
    </xf>
    <xf numFmtId="0" fontId="0" fillId="7" borderId="50" xfId="0" applyFill="1" applyBorder="1" applyAlignment="1" applyProtection="1">
      <alignment vertical="center"/>
      <protection locked="0"/>
    </xf>
    <xf numFmtId="0" fontId="71" fillId="11" borderId="0" xfId="0" applyFont="1" applyFill="1" applyAlignment="1">
      <alignment vertical="center"/>
    </xf>
    <xf numFmtId="0" fontId="71" fillId="11" borderId="0" xfId="0" applyFont="1" applyFill="1" applyAlignment="1">
      <alignment horizontal="right" vertical="center"/>
    </xf>
    <xf numFmtId="0" fontId="71" fillId="6" borderId="0" xfId="0" applyFont="1" applyFill="1" applyAlignment="1">
      <alignment vertical="center"/>
    </xf>
    <xf numFmtId="0" fontId="71" fillId="6" borderId="0" xfId="0" applyFont="1" applyFill="1" applyAlignment="1">
      <alignment horizontal="right" vertical="center"/>
    </xf>
    <xf numFmtId="0" fontId="71" fillId="7" borderId="0" xfId="0" applyFont="1" applyFill="1" applyAlignment="1">
      <alignment vertical="center"/>
    </xf>
    <xf numFmtId="0" fontId="0" fillId="6"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6"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71" fillId="12" borderId="0" xfId="0" applyFont="1" applyFill="1" applyAlignment="1">
      <alignment vertical="center"/>
    </xf>
    <xf numFmtId="0" fontId="71" fillId="12" borderId="0" xfId="0" applyFont="1" applyFill="1" applyAlignment="1">
      <alignment horizontal="right" vertical="center"/>
    </xf>
    <xf numFmtId="0" fontId="27" fillId="0" borderId="1" xfId="0" applyFont="1" applyBorder="1" applyAlignment="1" applyProtection="1">
      <alignment horizontal="center" vertical="center"/>
      <protection locked="0"/>
    </xf>
    <xf numFmtId="0" fontId="27" fillId="0" borderId="9" xfId="0" applyFont="1" applyBorder="1" applyAlignment="1">
      <alignment horizontal="center" vertical="center"/>
    </xf>
    <xf numFmtId="0" fontId="42"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42" fillId="7" borderId="28" xfId="0" applyFont="1" applyFill="1" applyBorder="1" applyAlignment="1">
      <alignment horizontal="center" vertical="center"/>
    </xf>
    <xf numFmtId="0" fontId="42" fillId="7" borderId="27" xfId="0" applyFont="1" applyFill="1" applyBorder="1" applyAlignment="1">
      <alignment horizontal="center" vertical="center"/>
    </xf>
    <xf numFmtId="0" fontId="42" fillId="7" borderId="36" xfId="0" applyFont="1" applyFill="1" applyBorder="1" applyAlignment="1">
      <alignment horizontal="center" vertical="center"/>
    </xf>
    <xf numFmtId="0" fontId="42" fillId="7" borderId="56" xfId="0" applyFont="1" applyFill="1" applyBorder="1" applyAlignment="1">
      <alignment horizontal="center" vertical="center"/>
    </xf>
    <xf numFmtId="0" fontId="42" fillId="7" borderId="38" xfId="0" applyFont="1" applyFill="1" applyBorder="1" applyAlignment="1">
      <alignment horizontal="center" vertical="center"/>
    </xf>
    <xf numFmtId="0" fontId="42"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Font="1" applyFill="1" applyBorder="1" applyAlignment="1">
      <alignment horizontal="left" vertical="top"/>
    </xf>
    <xf numFmtId="0" fontId="24" fillId="7" borderId="33" xfId="0" applyFont="1" applyFill="1" applyBorder="1" applyAlignment="1">
      <alignment horizontal="left" vertical="top" wrapText="1"/>
    </xf>
    <xf numFmtId="0" fontId="24" fillId="7" borderId="22" xfId="0" applyFont="1" applyFill="1" applyBorder="1" applyAlignment="1">
      <alignment horizontal="left" vertical="top" wrapText="1"/>
    </xf>
    <xf numFmtId="0" fontId="8" fillId="2" borderId="5" xfId="0" applyFont="1" applyFill="1" applyBorder="1" applyAlignment="1">
      <alignment horizontal="left" vertical="top"/>
    </xf>
    <xf numFmtId="0" fontId="13" fillId="2" borderId="2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4" xfId="0" applyFont="1" applyFill="1" applyBorder="1" applyAlignment="1">
      <alignment horizontal="left" vertical="top"/>
    </xf>
    <xf numFmtId="0" fontId="13" fillId="2" borderId="16" xfId="0" applyFont="1" applyFill="1" applyBorder="1" applyAlignment="1">
      <alignment horizontal="left" vertical="top"/>
    </xf>
    <xf numFmtId="0" fontId="13" fillId="2" borderId="39" xfId="0" applyFont="1" applyFill="1" applyBorder="1" applyAlignment="1">
      <alignment horizontal="left" vertical="top" wrapText="1"/>
    </xf>
    <xf numFmtId="0" fontId="13" fillId="2" borderId="39" xfId="0" applyFont="1" applyFill="1" applyBorder="1" applyAlignment="1">
      <alignment vertical="top" wrapText="1"/>
    </xf>
    <xf numFmtId="0" fontId="25" fillId="7" borderId="58" xfId="0" applyFont="1" applyFill="1" applyBorder="1" applyAlignment="1" applyProtection="1">
      <alignment horizontal="center" wrapText="1"/>
      <protection locked="0"/>
    </xf>
    <xf numFmtId="0" fontId="13" fillId="2" borderId="39" xfId="0" applyFont="1" applyFill="1" applyBorder="1" applyAlignment="1">
      <alignment horizontal="left" vertical="top"/>
    </xf>
    <xf numFmtId="0" fontId="25" fillId="2" borderId="18" xfId="0" applyFont="1" applyFill="1" applyBorder="1" applyAlignment="1" applyProtection="1">
      <alignment horizontal="center"/>
      <protection locked="0"/>
    </xf>
    <xf numFmtId="3" fontId="25" fillId="2" borderId="57"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0" fillId="0" borderId="41" xfId="0" applyBorder="1" applyAlignment="1" applyProtection="1">
      <alignment horizontal="center" vertical="center"/>
      <protection locked="0"/>
    </xf>
    <xf numFmtId="0" fontId="74" fillId="7" borderId="0" xfId="0" applyFont="1" applyFill="1" applyAlignment="1">
      <alignment horizontal="center" vertical="center"/>
    </xf>
    <xf numFmtId="0" fontId="89" fillId="2" borderId="0" xfId="0" applyFont="1" applyFill="1" applyAlignment="1">
      <alignment vertical="center"/>
    </xf>
    <xf numFmtId="0" fontId="0" fillId="7" borderId="0" xfId="0" applyFill="1" applyAlignment="1">
      <alignment horizontal="right"/>
    </xf>
    <xf numFmtId="0" fontId="0" fillId="7" borderId="61" xfId="0" applyFill="1" applyBorder="1"/>
    <xf numFmtId="0" fontId="0" fillId="14" borderId="0" xfId="0" applyFill="1"/>
    <xf numFmtId="0" fontId="16" fillId="7" borderId="60" xfId="0" applyFont="1" applyFill="1" applyBorder="1" applyAlignment="1" applyProtection="1">
      <alignment horizontal="center" vertical="center"/>
      <protection locked="0"/>
    </xf>
    <xf numFmtId="10" fontId="25" fillId="2" borderId="2" xfId="0" applyNumberFormat="1" applyFont="1" applyFill="1" applyBorder="1" applyAlignment="1" applyProtection="1">
      <alignment horizontal="center" vertical="center"/>
      <protection locked="0"/>
    </xf>
    <xf numFmtId="0" fontId="89" fillId="2" borderId="0" xfId="0" applyFont="1" applyFill="1" applyAlignment="1" applyProtection="1">
      <alignment horizontal="left" vertical="center"/>
      <protection locked="0"/>
    </xf>
    <xf numFmtId="3" fontId="5" fillId="2" borderId="1" xfId="0" applyNumberFormat="1" applyFont="1" applyFill="1" applyBorder="1" applyAlignment="1">
      <alignment horizontal="center" vertical="center"/>
    </xf>
    <xf numFmtId="0" fontId="92" fillId="7" borderId="0" xfId="0" applyFont="1" applyFill="1"/>
    <xf numFmtId="0" fontId="2" fillId="7" borderId="0" xfId="0" applyFont="1" applyFill="1" applyAlignment="1">
      <alignment horizontal="center" vertical="center"/>
    </xf>
    <xf numFmtId="0" fontId="2" fillId="7" borderId="2" xfId="0" applyFont="1" applyFill="1" applyBorder="1" applyAlignment="1" applyProtection="1">
      <alignment horizontal="center" vertical="center"/>
      <protection locked="0"/>
    </xf>
    <xf numFmtId="0" fontId="0" fillId="2" borderId="0" xfId="0" applyFill="1" applyProtection="1">
      <protection locked="0"/>
    </xf>
    <xf numFmtId="0" fontId="79" fillId="7" borderId="0" xfId="0" applyFont="1" applyFill="1" applyAlignment="1">
      <alignment horizontal="center"/>
    </xf>
    <xf numFmtId="0" fontId="95" fillId="7" borderId="0" xfId="0" applyFont="1" applyFill="1" applyAlignment="1">
      <alignment vertical="center"/>
    </xf>
    <xf numFmtId="49" fontId="95" fillId="7" borderId="0" xfId="0" applyNumberFormat="1" applyFont="1" applyFill="1" applyAlignment="1">
      <alignment vertical="center"/>
    </xf>
    <xf numFmtId="4" fontId="25" fillId="2" borderId="2" xfId="0" applyNumberFormat="1" applyFont="1" applyFill="1" applyBorder="1" applyAlignment="1">
      <alignment horizontal="center" vertical="center"/>
    </xf>
    <xf numFmtId="4" fontId="25" fillId="2" borderId="38" xfId="0" applyNumberFormat="1" applyFont="1" applyFill="1" applyBorder="1" applyAlignment="1">
      <alignment horizontal="center" vertical="center"/>
    </xf>
    <xf numFmtId="4" fontId="25" fillId="2" borderId="17" xfId="0" applyNumberFormat="1" applyFont="1" applyFill="1" applyBorder="1" applyAlignment="1">
      <alignment horizontal="center" vertical="center"/>
    </xf>
    <xf numFmtId="4" fontId="25" fillId="2" borderId="17" xfId="0" applyNumberFormat="1" applyFont="1" applyFill="1" applyBorder="1" applyAlignment="1" applyProtection="1">
      <alignment horizontal="center" vertical="center"/>
      <protection locked="0"/>
    </xf>
    <xf numFmtId="0" fontId="88" fillId="7" borderId="0" xfId="0" applyFont="1" applyFill="1"/>
    <xf numFmtId="0" fontId="88" fillId="7" borderId="62" xfId="0" applyFont="1" applyFill="1" applyBorder="1"/>
    <xf numFmtId="0" fontId="72" fillId="7" borderId="0" xfId="0" applyFont="1" applyFill="1" applyAlignment="1">
      <alignment vertical="center"/>
    </xf>
    <xf numFmtId="0" fontId="72" fillId="5" borderId="0" xfId="0" applyFont="1" applyFill="1" applyAlignment="1">
      <alignment vertical="center"/>
    </xf>
    <xf numFmtId="0" fontId="72" fillId="0" borderId="0" xfId="0" applyFont="1" applyAlignment="1">
      <alignment vertical="center"/>
    </xf>
    <xf numFmtId="0" fontId="91" fillId="7" borderId="61" xfId="0" applyFont="1" applyFill="1" applyBorder="1" applyAlignment="1">
      <alignment horizontal="center"/>
    </xf>
    <xf numFmtId="0" fontId="3" fillId="7" borderId="0" xfId="0" applyFont="1" applyFill="1" applyAlignment="1">
      <alignment horizontal="center"/>
    </xf>
    <xf numFmtId="0" fontId="72" fillId="4" borderId="0" xfId="0" applyFont="1" applyFill="1" applyAlignment="1">
      <alignment vertical="center"/>
    </xf>
    <xf numFmtId="0" fontId="0" fillId="4" borderId="0" xfId="0" applyFill="1" applyAlignment="1">
      <alignment vertical="center"/>
    </xf>
    <xf numFmtId="0" fontId="26" fillId="7" borderId="0" xfId="0" applyFont="1" applyFill="1"/>
    <xf numFmtId="0" fontId="11" fillId="7" borderId="0" xfId="0" applyFont="1" applyFill="1" applyAlignment="1">
      <alignment vertical="center"/>
    </xf>
    <xf numFmtId="0" fontId="26" fillId="7" borderId="0" xfId="0" applyFont="1" applyFill="1" applyAlignment="1">
      <alignment vertical="center"/>
    </xf>
    <xf numFmtId="0" fontId="26" fillId="7" borderId="37" xfId="0" applyFont="1" applyFill="1" applyBorder="1" applyAlignment="1">
      <alignment vertical="center"/>
    </xf>
    <xf numFmtId="0" fontId="92" fillId="7" borderId="0" xfId="0" applyFont="1" applyFill="1" applyAlignment="1">
      <alignment vertical="center"/>
    </xf>
    <xf numFmtId="0" fontId="92" fillId="7" borderId="34" xfId="0" applyFont="1" applyFill="1" applyBorder="1" applyAlignment="1">
      <alignment vertical="center"/>
    </xf>
    <xf numFmtId="0" fontId="92" fillId="2" borderId="0" xfId="0" applyFont="1" applyFill="1" applyAlignment="1">
      <alignment horizontal="center"/>
    </xf>
    <xf numFmtId="0" fontId="12" fillId="7" borderId="0" xfId="0" applyFont="1" applyFill="1" applyAlignment="1">
      <alignment horizontal="center" vertical="center"/>
    </xf>
    <xf numFmtId="0" fontId="94" fillId="7" borderId="0" xfId="0" applyFont="1" applyFill="1" applyAlignment="1">
      <alignment vertical="center"/>
    </xf>
    <xf numFmtId="0" fontId="106" fillId="12" borderId="53" xfId="6" applyFill="1" applyBorder="1" applyAlignment="1" applyProtection="1">
      <alignment vertical="center"/>
      <protection locked="0"/>
    </xf>
    <xf numFmtId="0" fontId="107" fillId="0" borderId="0" xfId="0" applyFont="1"/>
    <xf numFmtId="49" fontId="0" fillId="0" borderId="0" xfId="0" applyNumberFormat="1"/>
    <xf numFmtId="0" fontId="108" fillId="0" borderId="0" xfId="0" applyFont="1"/>
    <xf numFmtId="0" fontId="109" fillId="0" borderId="0" xfId="0" applyFont="1"/>
    <xf numFmtId="0" fontId="110" fillId="0" borderId="0" xfId="0" applyFont="1"/>
    <xf numFmtId="0" fontId="5" fillId="0" borderId="0" xfId="7"/>
    <xf numFmtId="0" fontId="5" fillId="0" borderId="0" xfId="7" applyAlignment="1">
      <alignment horizontal="center" vertical="center"/>
    </xf>
    <xf numFmtId="0" fontId="3" fillId="0" borderId="0" xfId="0" applyFont="1"/>
    <xf numFmtId="0" fontId="5" fillId="0" borderId="16" xfId="7" applyBorder="1" applyAlignment="1">
      <alignment horizontal="center" vertical="center"/>
    </xf>
    <xf numFmtId="0" fontId="5" fillId="0" borderId="20" xfId="7" applyBorder="1" applyAlignment="1">
      <alignment horizontal="center" vertical="center"/>
    </xf>
    <xf numFmtId="0" fontId="5" fillId="0" borderId="59" xfId="7" applyBorder="1" applyAlignment="1">
      <alignment horizontal="center" vertical="center"/>
    </xf>
    <xf numFmtId="0" fontId="5" fillId="0" borderId="17" xfId="7" applyBorder="1" applyAlignment="1">
      <alignment horizontal="center" vertical="center"/>
    </xf>
    <xf numFmtId="0" fontId="5" fillId="0" borderId="39" xfId="7" applyBorder="1" applyAlignment="1">
      <alignment horizontal="center" vertical="center"/>
    </xf>
    <xf numFmtId="0" fontId="5" fillId="0" borderId="21" xfId="7" applyBorder="1"/>
    <xf numFmtId="0" fontId="0" fillId="0" borderId="41" xfId="0" applyBorder="1"/>
    <xf numFmtId="0" fontId="3"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7" applyBorder="1"/>
    <xf numFmtId="0" fontId="5" fillId="0" borderId="47" xfId="7" applyBorder="1" applyAlignment="1">
      <alignment horizontal="center" vertical="center"/>
    </xf>
    <xf numFmtId="0" fontId="5" fillId="0" borderId="30" xfId="7" applyBorder="1" applyAlignment="1">
      <alignment horizontal="center" vertical="center"/>
    </xf>
    <xf numFmtId="0" fontId="111" fillId="2" borderId="93" xfId="7" applyFont="1" applyFill="1" applyBorder="1" applyAlignment="1">
      <alignment vertical="center" wrapText="1"/>
    </xf>
    <xf numFmtId="0" fontId="111" fillId="2" borderId="47" xfId="7" applyFont="1" applyFill="1" applyBorder="1" applyAlignment="1">
      <alignment horizontal="center" vertical="center" wrapText="1"/>
    </xf>
    <xf numFmtId="0" fontId="5" fillId="0" borderId="93" xfId="7" applyBorder="1"/>
    <xf numFmtId="0" fontId="5" fillId="0" borderId="94" xfId="7" applyBorder="1"/>
    <xf numFmtId="1" fontId="5" fillId="0" borderId="95" xfId="8" applyNumberFormat="1" applyBorder="1" applyAlignment="1">
      <alignment horizontal="left"/>
    </xf>
    <xf numFmtId="49" fontId="5" fillId="0" borderId="0" xfId="8" applyNumberFormat="1" applyAlignment="1">
      <alignment horizontal="center"/>
    </xf>
    <xf numFmtId="0" fontId="0" fillId="0" borderId="19" xfId="0" applyBorder="1"/>
    <xf numFmtId="49" fontId="0" fillId="0" borderId="2" xfId="0" applyNumberFormat="1" applyBorder="1"/>
    <xf numFmtId="49" fontId="112" fillId="0" borderId="71" xfId="0" applyNumberFormat="1" applyFont="1" applyBorder="1" applyAlignment="1">
      <alignment horizontal="center" vertical="center"/>
    </xf>
    <xf numFmtId="0" fontId="0" fillId="0" borderId="95" xfId="0" applyBorder="1"/>
    <xf numFmtId="0" fontId="5" fillId="0" borderId="10" xfId="7" applyBorder="1"/>
    <xf numFmtId="0" fontId="5" fillId="0" borderId="26" xfId="7" applyBorder="1" applyAlignment="1">
      <alignment horizontal="center" vertical="center"/>
    </xf>
    <xf numFmtId="0" fontId="111" fillId="2" borderId="2" xfId="7" applyFont="1" applyFill="1" applyBorder="1" applyAlignment="1">
      <alignment vertical="center" wrapText="1"/>
    </xf>
    <xf numFmtId="0" fontId="111" fillId="2" borderId="26" xfId="7" applyFont="1" applyFill="1" applyBorder="1" applyAlignment="1">
      <alignment horizontal="center" vertical="center" wrapText="1"/>
    </xf>
    <xf numFmtId="0" fontId="5" fillId="0" borderId="2" xfId="7" applyBorder="1"/>
    <xf numFmtId="0" fontId="5" fillId="0" borderId="1" xfId="7" applyBorder="1"/>
    <xf numFmtId="0" fontId="5" fillId="0" borderId="96" xfId="8" applyBorder="1" applyAlignment="1">
      <alignment horizontal="left"/>
    </xf>
    <xf numFmtId="1" fontId="5" fillId="0" borderId="96" xfId="8" applyNumberFormat="1" applyBorder="1" applyAlignment="1">
      <alignment horizontal="left"/>
    </xf>
    <xf numFmtId="0" fontId="5" fillId="0" borderId="11" xfId="7" applyBorder="1"/>
    <xf numFmtId="0" fontId="5" fillId="0" borderId="7" xfId="7" applyBorder="1" applyAlignment="1">
      <alignment horizontal="center" vertical="center"/>
    </xf>
    <xf numFmtId="1" fontId="5" fillId="0" borderId="96" xfId="8" applyNumberFormat="1" applyBorder="1" applyAlignment="1">
      <alignment horizontal="left" vertical="top" wrapText="1"/>
    </xf>
    <xf numFmtId="49" fontId="5" fillId="0" borderId="0" xfId="8" applyNumberFormat="1" applyAlignment="1">
      <alignment horizontal="center" vertical="top"/>
    </xf>
    <xf numFmtId="49" fontId="113" fillId="0" borderId="71" xfId="0" applyNumberFormat="1" applyFont="1" applyBorder="1" applyAlignment="1">
      <alignment horizontal="center" vertical="center"/>
    </xf>
    <xf numFmtId="1" fontId="114" fillId="0" borderId="96" xfId="0" applyNumberFormat="1" applyFont="1" applyBorder="1" applyAlignment="1">
      <alignment horizontal="left"/>
    </xf>
    <xf numFmtId="49" fontId="114" fillId="0" borderId="0" xfId="0" applyNumberFormat="1" applyFont="1" applyAlignment="1">
      <alignment horizontal="center"/>
    </xf>
    <xf numFmtId="0" fontId="111" fillId="2" borderId="3" xfId="7" applyFont="1" applyFill="1" applyBorder="1" applyAlignment="1">
      <alignment vertical="center" wrapText="1"/>
    </xf>
    <xf numFmtId="0" fontId="111" fillId="2" borderId="7" xfId="7" applyFont="1" applyFill="1" applyBorder="1" applyAlignment="1">
      <alignment horizontal="center" vertical="center" wrapText="1"/>
    </xf>
    <xf numFmtId="0" fontId="5" fillId="0" borderId="3" xfId="7" applyBorder="1"/>
    <xf numFmtId="0" fontId="5" fillId="0" borderId="9" xfId="7" applyBorder="1"/>
    <xf numFmtId="1" fontId="5" fillId="0" borderId="97" xfId="8" applyNumberFormat="1" applyBorder="1" applyAlignment="1">
      <alignment horizontal="left"/>
    </xf>
    <xf numFmtId="49" fontId="0" fillId="0" borderId="3" xfId="0" applyNumberFormat="1" applyBorder="1"/>
    <xf numFmtId="49" fontId="113" fillId="0" borderId="57" xfId="0" applyNumberFormat="1" applyFont="1" applyBorder="1" applyAlignment="1">
      <alignment horizontal="center" vertical="center"/>
    </xf>
    <xf numFmtId="0" fontId="0" fillId="0" borderId="97" xfId="0" applyBorder="1"/>
    <xf numFmtId="0" fontId="2" fillId="0" borderId="0" xfId="0" applyFont="1"/>
    <xf numFmtId="49" fontId="3" fillId="0" borderId="0" xfId="0" applyNumberFormat="1" applyFont="1"/>
    <xf numFmtId="0" fontId="0" fillId="17" borderId="0" xfId="0" applyFill="1"/>
    <xf numFmtId="3" fontId="0" fillId="0" borderId="0" xfId="0" applyNumberFormat="1"/>
    <xf numFmtId="4" fontId="0" fillId="0" borderId="0" xfId="0" applyNumberFormat="1"/>
    <xf numFmtId="0" fontId="115" fillId="0" borderId="0" xfId="0" applyFont="1"/>
    <xf numFmtId="0" fontId="3" fillId="17" borderId="0" xfId="0" applyFont="1" applyFill="1"/>
    <xf numFmtId="1" fontId="0" fillId="0" borderId="0" xfId="0" applyNumberFormat="1"/>
    <xf numFmtId="0" fontId="116" fillId="0" borderId="0" xfId="0" applyFont="1"/>
    <xf numFmtId="0" fontId="0" fillId="18" borderId="0" xfId="0" applyFill="1" applyAlignment="1">
      <alignment horizontal="right" vertical="center"/>
    </xf>
    <xf numFmtId="0" fontId="5" fillId="19" borderId="0" xfId="7" applyFill="1"/>
    <xf numFmtId="0" fontId="4" fillId="2" borderId="0" xfId="0" applyFont="1" applyFill="1" applyAlignment="1">
      <alignment horizontal="right" vertical="center"/>
    </xf>
    <xf numFmtId="0" fontId="0" fillId="0" borderId="3" xfId="0" applyBorder="1" applyAlignment="1">
      <alignment horizontal="center" vertical="center"/>
    </xf>
    <xf numFmtId="0" fontId="11" fillId="6" borderId="93" xfId="0" applyFont="1" applyFill="1" applyBorder="1" applyAlignment="1">
      <alignment horizontal="center" vertical="center" wrapText="1"/>
    </xf>
    <xf numFmtId="0" fontId="11" fillId="6" borderId="94" xfId="0" applyFont="1" applyFill="1" applyBorder="1" applyAlignment="1">
      <alignment horizontal="center" vertical="center" wrapText="1"/>
    </xf>
    <xf numFmtId="49" fontId="115" fillId="0" borderId="0" xfId="0" applyNumberFormat="1" applyFont="1"/>
    <xf numFmtId="0" fontId="0" fillId="20" borderId="0" xfId="0" applyFill="1"/>
    <xf numFmtId="0" fontId="5" fillId="22" borderId="0" xfId="7" applyFill="1"/>
    <xf numFmtId="0" fontId="118" fillId="22" borderId="0" xfId="7" applyFont="1" applyFill="1" applyAlignment="1">
      <alignment vertical="top"/>
    </xf>
    <xf numFmtId="0" fontId="119" fillId="22" borderId="0" xfId="7" applyFont="1" applyFill="1" applyAlignment="1">
      <alignment wrapText="1"/>
    </xf>
    <xf numFmtId="0" fontId="118" fillId="22" borderId="0" xfId="7" applyFont="1" applyFill="1" applyAlignment="1">
      <alignment wrapText="1"/>
    </xf>
    <xf numFmtId="0" fontId="118" fillId="22" borderId="0" xfId="7" applyFont="1" applyFill="1"/>
    <xf numFmtId="0" fontId="120" fillId="22" borderId="0" xfId="5" applyFont="1" applyFill="1" applyAlignment="1" applyProtection="1">
      <alignment wrapText="1"/>
    </xf>
    <xf numFmtId="0" fontId="118" fillId="22" borderId="0" xfId="8" applyFont="1" applyFill="1" applyAlignment="1">
      <alignment wrapText="1"/>
    </xf>
    <xf numFmtId="0" fontId="30" fillId="22" borderId="0" xfId="7" applyFont="1" applyFill="1" applyAlignment="1">
      <alignment horizontal="right" wrapText="1"/>
    </xf>
    <xf numFmtId="0" fontId="118" fillId="22" borderId="0" xfId="7" applyFont="1" applyFill="1" applyAlignment="1">
      <alignment horizontal="right" wrapText="1"/>
    </xf>
    <xf numFmtId="0" fontId="0" fillId="0" borderId="42" xfId="0" applyBorder="1"/>
    <xf numFmtId="0" fontId="3" fillId="0" borderId="0" xfId="0" quotePrefix="1" applyFont="1"/>
    <xf numFmtId="0" fontId="42" fillId="7" borderId="57"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lignment horizontal="center" vertical="center"/>
    </xf>
    <xf numFmtId="9" fontId="0" fillId="0" borderId="27" xfId="0" applyNumberFormat="1" applyBorder="1" applyAlignment="1" applyProtection="1">
      <alignment horizontal="center" vertical="center"/>
      <protection locked="0"/>
    </xf>
    <xf numFmtId="9" fontId="0" fillId="0" borderId="58" xfId="0" applyNumberFormat="1" applyBorder="1" applyAlignment="1" applyProtection="1">
      <alignment horizontal="center" vertical="center"/>
      <protection locked="0"/>
    </xf>
    <xf numFmtId="0" fontId="0" fillId="23" borderId="0" xfId="0" applyFill="1"/>
    <xf numFmtId="0" fontId="123" fillId="24" borderId="60" xfId="0" applyFont="1" applyFill="1" applyBorder="1" applyAlignment="1" applyProtection="1">
      <alignment horizontal="center" vertical="center"/>
      <protection locked="0"/>
    </xf>
    <xf numFmtId="0" fontId="112" fillId="21" borderId="0" xfId="11" applyFont="1" applyFill="1"/>
    <xf numFmtId="0" fontId="112" fillId="21" borderId="0" xfId="11" applyFont="1" applyFill="1" applyAlignment="1">
      <alignment wrapText="1"/>
    </xf>
    <xf numFmtId="0" fontId="112" fillId="19" borderId="28" xfId="11" applyFont="1" applyFill="1" applyBorder="1" applyAlignment="1">
      <alignment horizontal="center" vertical="center"/>
    </xf>
    <xf numFmtId="0" fontId="112" fillId="19" borderId="27" xfId="11" applyFont="1" applyFill="1" applyBorder="1" applyAlignment="1">
      <alignment horizontal="center" vertical="center"/>
    </xf>
    <xf numFmtId="0" fontId="112" fillId="19" borderId="36" xfId="11" applyFont="1" applyFill="1" applyBorder="1" applyAlignment="1">
      <alignment horizontal="center" vertical="center" wrapText="1"/>
    </xf>
    <xf numFmtId="0" fontId="112" fillId="21" borderId="0" xfId="11" applyFont="1" applyFill="1" applyAlignment="1">
      <alignment horizontal="center" vertical="center"/>
    </xf>
    <xf numFmtId="0" fontId="126" fillId="19" borderId="2" xfId="11" applyFont="1" applyFill="1" applyBorder="1" applyAlignment="1" applyProtection="1">
      <alignment horizontal="left" vertical="center" indent="1"/>
      <protection locked="0"/>
    </xf>
    <xf numFmtId="49" fontId="126" fillId="19" borderId="1" xfId="11" applyNumberFormat="1" applyFont="1" applyFill="1" applyBorder="1" applyAlignment="1" applyProtection="1">
      <alignment horizontal="center" vertical="center"/>
      <protection locked="0"/>
    </xf>
    <xf numFmtId="49" fontId="126" fillId="19" borderId="2" xfId="11" applyNumberFormat="1" applyFont="1" applyFill="1" applyBorder="1" applyAlignment="1" applyProtection="1">
      <alignment horizontal="left" vertical="center" indent="1"/>
      <protection locked="0"/>
    </xf>
    <xf numFmtId="49" fontId="126" fillId="19" borderId="2" xfId="11" applyNumberFormat="1" applyFont="1" applyFill="1" applyBorder="1" applyAlignment="1" applyProtection="1">
      <alignment horizontal="center" vertical="center"/>
      <protection locked="0"/>
    </xf>
    <xf numFmtId="49" fontId="126" fillId="19" borderId="3" xfId="11" applyNumberFormat="1" applyFont="1" applyFill="1" applyBorder="1" applyAlignment="1" applyProtection="1">
      <alignment horizontal="left" vertical="center" indent="1"/>
      <protection locked="0"/>
    </xf>
    <xf numFmtId="49" fontId="126" fillId="19" borderId="3" xfId="11" applyNumberFormat="1" applyFont="1" applyFill="1" applyBorder="1" applyAlignment="1" applyProtection="1">
      <alignment horizontal="center" vertical="center"/>
      <protection locked="0"/>
    </xf>
    <xf numFmtId="49" fontId="126" fillId="19" borderId="9" xfId="11" applyNumberFormat="1" applyFont="1" applyFill="1" applyBorder="1" applyAlignment="1" applyProtection="1">
      <alignment horizontal="center" vertical="center"/>
      <protection locked="0"/>
    </xf>
    <xf numFmtId="0" fontId="112" fillId="19" borderId="0" xfId="11" applyFont="1" applyFill="1" applyAlignment="1">
      <alignment horizontal="right" vertical="center"/>
    </xf>
    <xf numFmtId="14" fontId="126" fillId="19" borderId="0" xfId="11" applyNumberFormat="1" applyFont="1" applyFill="1" applyAlignment="1">
      <alignment horizontal="center" vertical="center"/>
    </xf>
    <xf numFmtId="0" fontId="2" fillId="21" borderId="0" xfId="11" applyFont="1" applyFill="1"/>
    <xf numFmtId="0" fontId="1" fillId="21" borderId="0" xfId="11" applyFill="1" applyAlignment="1">
      <alignment wrapText="1"/>
    </xf>
    <xf numFmtId="0" fontId="1" fillId="21" borderId="0" xfId="11" applyFill="1"/>
    <xf numFmtId="0" fontId="124" fillId="21" borderId="0" xfId="11" applyFont="1" applyFill="1" applyAlignment="1">
      <alignment vertical="center"/>
    </xf>
    <xf numFmtId="0" fontId="112" fillId="19" borderId="0" xfId="11" applyFont="1" applyFill="1" applyAlignment="1">
      <alignment vertical="center"/>
    </xf>
    <xf numFmtId="0" fontId="126" fillId="19" borderId="83" xfId="11" applyFont="1" applyFill="1" applyBorder="1" applyAlignment="1" applyProtection="1">
      <alignment horizontal="center" vertical="center"/>
      <protection locked="0"/>
    </xf>
    <xf numFmtId="49" fontId="127" fillId="19" borderId="42" xfId="11" applyNumberFormat="1" applyFont="1" applyFill="1" applyBorder="1" applyAlignment="1">
      <alignment horizontal="center" vertical="center"/>
    </xf>
    <xf numFmtId="49" fontId="127" fillId="19" borderId="0" xfId="11" applyNumberFormat="1" applyFont="1" applyFill="1" applyAlignment="1">
      <alignment vertical="center"/>
    </xf>
    <xf numFmtId="0" fontId="126" fillId="19" borderId="83" xfId="11" applyFont="1" applyFill="1" applyBorder="1" applyAlignment="1" applyProtection="1">
      <alignment horizontal="left" vertical="center" indent="1"/>
      <protection locked="0"/>
    </xf>
    <xf numFmtId="49" fontId="126" fillId="19" borderId="0" xfId="11" applyNumberFormat="1" applyFont="1" applyFill="1" applyAlignment="1">
      <alignment vertical="center"/>
    </xf>
    <xf numFmtId="14" fontId="126" fillId="19" borderId="83" xfId="11" applyNumberFormat="1" applyFont="1" applyFill="1" applyBorder="1" applyAlignment="1" applyProtection="1">
      <alignment horizontal="center" vertical="center"/>
      <protection locked="0"/>
    </xf>
    <xf numFmtId="0" fontId="1" fillId="19" borderId="0" xfId="11" applyFill="1"/>
    <xf numFmtId="3" fontId="92" fillId="7" borderId="0" xfId="0" applyNumberFormat="1" applyFont="1" applyFill="1" applyAlignment="1">
      <alignment vertical="center"/>
    </xf>
    <xf numFmtId="0" fontId="3" fillId="7" borderId="0" xfId="0" applyFont="1" applyFill="1" applyAlignment="1">
      <alignment vertical="center"/>
    </xf>
    <xf numFmtId="0" fontId="3" fillId="7" borderId="0" xfId="0" applyFont="1" applyFill="1" applyAlignment="1">
      <alignment horizontal="right" vertical="center"/>
    </xf>
    <xf numFmtId="0" fontId="3" fillId="18" borderId="0" xfId="0" applyFont="1" applyFill="1" applyAlignment="1">
      <alignment horizontal="right" vertical="center"/>
    </xf>
    <xf numFmtId="0" fontId="0" fillId="19" borderId="0" xfId="0" applyFill="1" applyAlignment="1">
      <alignment vertical="center"/>
    </xf>
    <xf numFmtId="0" fontId="2" fillId="7" borderId="103" xfId="0" applyFont="1" applyFill="1" applyBorder="1" applyAlignment="1" applyProtection="1">
      <alignment horizontal="center" vertical="center"/>
      <protection locked="0"/>
    </xf>
    <xf numFmtId="0" fontId="3" fillId="7" borderId="110" xfId="0" applyFont="1" applyFill="1" applyBorder="1" applyAlignment="1">
      <alignment vertical="center"/>
    </xf>
    <xf numFmtId="0" fontId="2" fillId="7" borderId="37" xfId="0" applyFont="1" applyFill="1" applyBorder="1" applyAlignment="1">
      <alignment vertical="center"/>
    </xf>
    <xf numFmtId="0" fontId="112" fillId="19" borderId="0" xfId="11" applyFont="1" applyFill="1" applyAlignment="1">
      <alignment horizontal="left" vertical="center"/>
    </xf>
    <xf numFmtId="0" fontId="112" fillId="19" borderId="27" xfId="11" applyFont="1" applyFill="1" applyBorder="1" applyAlignment="1">
      <alignment horizontal="center" vertical="center" wrapText="1"/>
    </xf>
    <xf numFmtId="0" fontId="0" fillId="19" borderId="0" xfId="0" applyFill="1"/>
    <xf numFmtId="0" fontId="0" fillId="19" borderId="119" xfId="0" applyFill="1" applyBorder="1" applyAlignment="1">
      <alignment vertical="center"/>
    </xf>
    <xf numFmtId="0" fontId="42" fillId="19" borderId="0" xfId="0" applyFont="1" applyFill="1" applyAlignment="1">
      <alignment vertical="center"/>
    </xf>
    <xf numFmtId="0" fontId="42" fillId="19" borderId="120" xfId="0" applyFont="1" applyFill="1" applyBorder="1" applyAlignment="1">
      <alignment vertical="center"/>
    </xf>
    <xf numFmtId="0" fontId="0" fillId="19" borderId="120" xfId="0" applyFill="1" applyBorder="1" applyAlignment="1">
      <alignment vertical="center"/>
    </xf>
    <xf numFmtId="0" fontId="0" fillId="19" borderId="121" xfId="0" applyFill="1" applyBorder="1" applyAlignment="1">
      <alignment vertical="center"/>
    </xf>
    <xf numFmtId="0" fontId="0" fillId="19" borderId="122" xfId="0" applyFill="1" applyBorder="1" applyAlignment="1">
      <alignment vertical="center"/>
    </xf>
    <xf numFmtId="0" fontId="0" fillId="19" borderId="123" xfId="0" applyFill="1" applyBorder="1" applyAlignment="1">
      <alignment vertical="center"/>
    </xf>
    <xf numFmtId="0" fontId="58" fillId="19" borderId="0" xfId="0" applyFont="1" applyFill="1" applyAlignment="1">
      <alignment horizontal="center" vertical="center"/>
    </xf>
    <xf numFmtId="0" fontId="3" fillId="19" borderId="0" xfId="0" applyFont="1" applyFill="1" applyAlignment="1">
      <alignment vertical="center"/>
    </xf>
    <xf numFmtId="0" fontId="2" fillId="19" borderId="103" xfId="0" applyFont="1" applyFill="1" applyBorder="1" applyAlignment="1" applyProtection="1">
      <alignment horizontal="center" vertical="center"/>
      <protection locked="0"/>
    </xf>
    <xf numFmtId="0" fontId="0" fillId="19" borderId="107" xfId="0" applyFill="1" applyBorder="1" applyAlignment="1">
      <alignment vertical="center"/>
    </xf>
    <xf numFmtId="0" fontId="0" fillId="19" borderId="109" xfId="0" applyFill="1" applyBorder="1" applyAlignment="1">
      <alignment vertical="center"/>
    </xf>
    <xf numFmtId="0" fontId="0" fillId="25" borderId="0" xfId="0" applyFill="1"/>
    <xf numFmtId="0" fontId="2" fillId="25" borderId="0" xfId="0" applyFont="1" applyFill="1"/>
    <xf numFmtId="0" fontId="0" fillId="25" borderId="0" xfId="0" applyFill="1" applyAlignment="1">
      <alignment vertical="center"/>
    </xf>
    <xf numFmtId="0" fontId="0" fillId="19" borderId="103" xfId="0" applyFill="1" applyBorder="1" applyAlignment="1">
      <alignment vertical="center"/>
    </xf>
    <xf numFmtId="0" fontId="3" fillId="25" borderId="0" xfId="0" applyFont="1" applyFill="1"/>
    <xf numFmtId="0" fontId="112" fillId="19" borderId="0" xfId="11" applyFont="1" applyFill="1" applyAlignment="1">
      <alignment horizontal="center" vertical="center" wrapText="1"/>
    </xf>
    <xf numFmtId="0" fontId="126" fillId="19" borderId="119" xfId="11" applyFont="1" applyFill="1" applyBorder="1" applyAlignment="1">
      <alignment horizontal="center" vertical="center"/>
    </xf>
    <xf numFmtId="0" fontId="127" fillId="19" borderId="0" xfId="11" applyFont="1" applyFill="1" applyAlignment="1" applyProtection="1">
      <alignment horizontal="center" vertical="center" wrapText="1"/>
      <protection locked="0"/>
    </xf>
    <xf numFmtId="0" fontId="126" fillId="19" borderId="71" xfId="11" applyFont="1" applyFill="1" applyBorder="1" applyAlignment="1" applyProtection="1">
      <alignment horizontal="left" vertical="center" indent="1"/>
      <protection locked="0"/>
    </xf>
    <xf numFmtId="49" fontId="126" fillId="19" borderId="71" xfId="11" applyNumberFormat="1" applyFont="1" applyFill="1" applyBorder="1" applyAlignment="1" applyProtection="1">
      <alignment horizontal="left" vertical="center" indent="1"/>
      <protection locked="0"/>
    </xf>
    <xf numFmtId="49" fontId="126" fillId="19" borderId="57" xfId="11" applyNumberFormat="1" applyFont="1" applyFill="1" applyBorder="1" applyAlignment="1" applyProtection="1">
      <alignment horizontal="left" vertical="center" indent="1"/>
      <protection locked="0"/>
    </xf>
    <xf numFmtId="0" fontId="126" fillId="19" borderId="2" xfId="11" applyFont="1" applyFill="1" applyBorder="1" applyAlignment="1" applyProtection="1">
      <alignment horizontal="center" vertical="center"/>
      <protection locked="0"/>
    </xf>
    <xf numFmtId="0" fontId="133" fillId="19" borderId="1" xfId="0" applyFont="1" applyFill="1" applyBorder="1" applyAlignment="1" applyProtection="1">
      <alignment horizontal="center" vertical="center"/>
      <protection locked="0"/>
    </xf>
    <xf numFmtId="0" fontId="132" fillId="19" borderId="2" xfId="11" applyFont="1" applyFill="1" applyBorder="1" applyAlignment="1">
      <alignment horizontal="center" vertical="center"/>
    </xf>
    <xf numFmtId="0" fontId="42" fillId="19" borderId="32" xfId="0" applyFont="1" applyFill="1" applyBorder="1" applyAlignment="1">
      <alignment vertical="center"/>
    </xf>
    <xf numFmtId="0" fontId="127" fillId="19" borderId="0" xfId="11" applyFont="1" applyFill="1" applyAlignment="1">
      <alignment horizontal="center" vertical="center" wrapText="1"/>
    </xf>
    <xf numFmtId="0" fontId="112" fillId="19" borderId="10" xfId="11" applyFont="1" applyFill="1" applyBorder="1" applyAlignment="1">
      <alignment horizontal="left" vertical="center" indent="1"/>
    </xf>
    <xf numFmtId="49" fontId="112" fillId="19" borderId="10" xfId="11" applyNumberFormat="1" applyFont="1" applyFill="1" applyBorder="1" applyAlignment="1">
      <alignment horizontal="left" vertical="center" indent="1"/>
    </xf>
    <xf numFmtId="3" fontId="115" fillId="0" borderId="0" xfId="0" applyNumberFormat="1" applyFont="1"/>
    <xf numFmtId="0" fontId="0" fillId="0" borderId="10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8" fillId="26" borderId="4" xfId="12" applyFont="1" applyBorder="1" applyAlignment="1"/>
    <xf numFmtId="0" fontId="58" fillId="26" borderId="126" xfId="12" applyFont="1" applyBorder="1" applyAlignment="1" applyProtection="1">
      <alignment horizontal="center"/>
    </xf>
    <xf numFmtId="0" fontId="58" fillId="26" borderId="70" xfId="12" applyFont="1" applyBorder="1" applyAlignment="1">
      <alignment horizontal="center"/>
    </xf>
    <xf numFmtId="0" fontId="58" fillId="26" borderId="27" xfId="12" applyFont="1" applyBorder="1" applyAlignment="1">
      <alignment horizontal="center"/>
    </xf>
    <xf numFmtId="0" fontId="58" fillId="26" borderId="36" xfId="12" applyFont="1" applyBorder="1" applyAlignment="1">
      <alignment horizontal="center"/>
    </xf>
    <xf numFmtId="0" fontId="8" fillId="3" borderId="8" xfId="0" applyFont="1" applyFill="1" applyBorder="1" applyAlignment="1">
      <alignment vertical="center"/>
    </xf>
    <xf numFmtId="4" fontId="2" fillId="0" borderId="127" xfId="0" applyNumberFormat="1" applyFont="1" applyBorder="1" applyAlignment="1">
      <alignment vertical="center"/>
    </xf>
    <xf numFmtId="4" fontId="0" fillId="0" borderId="106" xfId="0" applyNumberFormat="1" applyBorder="1" applyAlignment="1" applyProtection="1">
      <alignment vertical="center"/>
      <protection locked="0"/>
    </xf>
    <xf numFmtId="4" fontId="0" fillId="0" borderId="103"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3" borderId="5" xfId="0" applyFont="1" applyFill="1" applyBorder="1" applyAlignment="1">
      <alignment vertical="center"/>
    </xf>
    <xf numFmtId="4" fontId="2" fillId="0" borderId="128" xfId="0" applyNumberFormat="1" applyFont="1" applyBorder="1" applyAlignment="1">
      <alignment vertical="center"/>
    </xf>
    <xf numFmtId="4" fontId="0" fillId="7" borderId="57" xfId="0" applyNumberFormat="1" applyFill="1" applyBorder="1" applyAlignment="1" applyProtection="1">
      <alignment vertical="center"/>
      <protection locked="0"/>
    </xf>
    <xf numFmtId="4" fontId="0" fillId="7" borderId="3" xfId="0" applyNumberFormat="1" applyFill="1" applyBorder="1" applyAlignment="1" applyProtection="1">
      <alignment vertical="center"/>
      <protection locked="0"/>
    </xf>
    <xf numFmtId="4" fontId="0" fillId="7" borderId="9" xfId="0" applyNumberFormat="1" applyFill="1" applyBorder="1" applyAlignment="1" applyProtection="1">
      <alignment vertical="center"/>
      <protection locked="0"/>
    </xf>
    <xf numFmtId="0" fontId="112" fillId="27" borderId="0" xfId="11" applyFont="1" applyFill="1"/>
    <xf numFmtId="0" fontId="112" fillId="0" borderId="0" xfId="11" applyFont="1"/>
    <xf numFmtId="0" fontId="42" fillId="19" borderId="120" xfId="11" applyFont="1" applyFill="1" applyBorder="1" applyAlignment="1">
      <alignment horizontal="left" vertical="center"/>
    </xf>
    <xf numFmtId="0" fontId="42" fillId="19" borderId="0" xfId="11" applyFont="1" applyFill="1" applyAlignment="1">
      <alignment vertical="center"/>
    </xf>
    <xf numFmtId="0" fontId="112" fillId="27" borderId="0" xfId="11" applyFont="1" applyFill="1" applyAlignment="1">
      <alignment vertical="center"/>
    </xf>
    <xf numFmtId="0" fontId="112" fillId="0" borderId="0" xfId="11" applyFont="1" applyAlignment="1">
      <alignment vertical="center"/>
    </xf>
    <xf numFmtId="4" fontId="42" fillId="19" borderId="0" xfId="11" applyNumberFormat="1" applyFont="1" applyFill="1" applyAlignment="1">
      <alignment vertical="center"/>
    </xf>
    <xf numFmtId="4" fontId="112" fillId="27" borderId="0" xfId="11" applyNumberFormat="1" applyFont="1" applyFill="1" applyAlignment="1">
      <alignment vertical="center"/>
    </xf>
    <xf numFmtId="4" fontId="112" fillId="0" borderId="0" xfId="11" applyNumberFormat="1" applyFont="1" applyAlignment="1">
      <alignment vertical="center"/>
    </xf>
    <xf numFmtId="0" fontId="42" fillId="19" borderId="0" xfId="11" applyFont="1" applyFill="1" applyAlignment="1">
      <alignment horizontal="center" vertical="center"/>
    </xf>
    <xf numFmtId="0" fontId="11" fillId="19" borderId="0" xfId="11" applyFont="1" applyFill="1"/>
    <xf numFmtId="0" fontId="0" fillId="2" borderId="0" xfId="0" applyFill="1" applyAlignment="1">
      <alignment vertical="top" wrapText="1"/>
    </xf>
    <xf numFmtId="0" fontId="0" fillId="0" borderId="110" xfId="0" applyBorder="1" applyAlignment="1">
      <alignment vertical="center"/>
    </xf>
    <xf numFmtId="0" fontId="92" fillId="7" borderId="120" xfId="0" applyFont="1" applyFill="1" applyBorder="1" applyAlignment="1">
      <alignment vertical="center"/>
    </xf>
    <xf numFmtId="0" fontId="5" fillId="2" borderId="103" xfId="13" applyFont="1" applyFill="1" applyBorder="1" applyAlignment="1" applyProtection="1">
      <alignment horizontal="center"/>
      <protection locked="0"/>
    </xf>
    <xf numFmtId="0" fontId="8" fillId="3" borderId="103" xfId="0" applyFont="1" applyFill="1" applyBorder="1" applyAlignment="1">
      <alignment horizontal="center" vertical="center"/>
    </xf>
    <xf numFmtId="0" fontId="5" fillId="2" borderId="3" xfId="13" applyFont="1" applyFill="1" applyBorder="1" applyAlignment="1" applyProtection="1">
      <alignment horizontal="center"/>
      <protection locked="0"/>
    </xf>
    <xf numFmtId="0" fontId="58" fillId="7" borderId="0" xfId="0" applyFont="1" applyFill="1" applyAlignment="1">
      <alignment horizontal="center" vertical="center"/>
    </xf>
    <xf numFmtId="0" fontId="11" fillId="7" borderId="62" xfId="0" applyFont="1" applyFill="1" applyBorder="1" applyAlignment="1">
      <alignment vertical="center"/>
    </xf>
    <xf numFmtId="0" fontId="11" fillId="7" borderId="0" xfId="0" applyFont="1" applyFill="1" applyAlignment="1">
      <alignment horizontal="right" vertical="center"/>
    </xf>
    <xf numFmtId="49" fontId="11" fillId="7" borderId="0" xfId="0" applyNumberFormat="1" applyFont="1" applyFill="1" applyAlignment="1">
      <alignment horizontal="right" vertical="center"/>
    </xf>
    <xf numFmtId="0" fontId="58" fillId="7" borderId="37" xfId="0" applyFont="1" applyFill="1" applyBorder="1" applyAlignment="1">
      <alignment horizontal="center" vertical="center"/>
    </xf>
    <xf numFmtId="14" fontId="3" fillId="7" borderId="40" xfId="0" applyNumberFormat="1" applyFont="1" applyFill="1" applyBorder="1" applyAlignment="1" applyProtection="1">
      <alignment horizontal="left" vertical="center"/>
      <protection locked="0"/>
    </xf>
    <xf numFmtId="0" fontId="84" fillId="7" borderId="52" xfId="0" applyFont="1" applyFill="1" applyBorder="1" applyAlignment="1" applyProtection="1">
      <alignment horizontal="center" vertical="center"/>
      <protection locked="0"/>
    </xf>
    <xf numFmtId="0" fontId="84" fillId="0" borderId="0" xfId="0" applyFont="1" applyAlignment="1" applyProtection="1">
      <alignment horizontal="center" vertical="center"/>
      <protection locked="0"/>
    </xf>
    <xf numFmtId="0" fontId="84" fillId="0" borderId="53" xfId="0" applyFont="1" applyBorder="1" applyAlignment="1" applyProtection="1">
      <alignment horizontal="center" vertical="center"/>
      <protection locked="0"/>
    </xf>
    <xf numFmtId="0" fontId="0" fillId="12" borderId="52" xfId="0" applyFill="1" applyBorder="1" applyAlignment="1" applyProtection="1">
      <alignment vertical="top"/>
      <protection locked="0"/>
    </xf>
    <xf numFmtId="0" fontId="0" fillId="11" borderId="69" xfId="0" applyFill="1" applyBorder="1" applyAlignment="1" applyProtection="1">
      <alignment vertical="top"/>
      <protection locked="0"/>
    </xf>
    <xf numFmtId="0" fontId="0" fillId="11" borderId="53" xfId="0" applyFill="1" applyBorder="1" applyAlignment="1" applyProtection="1">
      <alignment vertical="top"/>
      <protection locked="0"/>
    </xf>
    <xf numFmtId="0" fontId="0" fillId="0" borderId="37" xfId="0" applyBorder="1" applyAlignment="1">
      <alignment vertical="center"/>
    </xf>
    <xf numFmtId="0" fontId="3" fillId="7" borderId="34" xfId="0" applyFont="1" applyFill="1" applyBorder="1" applyAlignment="1">
      <alignment vertical="center"/>
    </xf>
    <xf numFmtId="0" fontId="83" fillId="7" borderId="0" xfId="0" applyFont="1" applyFill="1" applyAlignment="1" applyProtection="1">
      <alignment vertical="center"/>
      <protection locked="0"/>
    </xf>
    <xf numFmtId="0" fontId="106" fillId="12" borderId="52" xfId="5" applyFont="1" applyFill="1" applyBorder="1" applyAlignment="1" applyProtection="1">
      <alignment vertical="center"/>
      <protection locked="0"/>
    </xf>
    <xf numFmtId="0" fontId="92" fillId="7" borderId="110" xfId="0" applyFont="1" applyFill="1" applyBorder="1" applyAlignment="1">
      <alignment vertical="center"/>
    </xf>
    <xf numFmtId="0" fontId="0" fillId="7" borderId="62" xfId="0" applyFill="1" applyBorder="1"/>
    <xf numFmtId="0" fontId="122" fillId="23" borderId="0" xfId="0" applyFont="1" applyFill="1" applyAlignment="1">
      <alignment horizontal="center" vertical="center"/>
    </xf>
    <xf numFmtId="0" fontId="72" fillId="0" borderId="66" xfId="0" applyFont="1" applyBorder="1" applyAlignment="1">
      <alignment vertical="center"/>
    </xf>
    <xf numFmtId="0" fontId="116" fillId="7" borderId="0" xfId="0" applyFont="1" applyFill="1" applyAlignment="1">
      <alignment vertical="center"/>
    </xf>
    <xf numFmtId="0" fontId="16" fillId="7" borderId="139" xfId="0" applyFont="1" applyFill="1" applyBorder="1" applyAlignment="1" applyProtection="1">
      <alignment horizontal="center" vertical="center"/>
      <protection locked="0"/>
    </xf>
    <xf numFmtId="0" fontId="95" fillId="31" borderId="0" xfId="0" applyFont="1" applyFill="1" applyAlignment="1">
      <alignment vertical="center"/>
    </xf>
    <xf numFmtId="0" fontId="0" fillId="31" borderId="0" xfId="0" applyFill="1"/>
    <xf numFmtId="0" fontId="88" fillId="31" borderId="0" xfId="0" applyFont="1" applyFill="1"/>
    <xf numFmtId="0" fontId="149" fillId="33" borderId="141" xfId="0" applyFont="1" applyFill="1" applyBorder="1" applyAlignment="1">
      <alignment horizontal="left"/>
    </xf>
    <xf numFmtId="0" fontId="116" fillId="33" borderId="140" xfId="0" applyFont="1" applyFill="1" applyBorder="1" applyAlignment="1">
      <alignment vertical="center"/>
    </xf>
    <xf numFmtId="0" fontId="0" fillId="33" borderId="143" xfId="0" applyFill="1" applyBorder="1"/>
    <xf numFmtId="0" fontId="0" fillId="31" borderId="143" xfId="0" applyFill="1" applyBorder="1"/>
    <xf numFmtId="0" fontId="0" fillId="31" borderId="143" xfId="0" applyFill="1" applyBorder="1" applyAlignment="1">
      <alignment vertical="center"/>
    </xf>
    <xf numFmtId="0" fontId="0" fillId="31" borderId="144" xfId="0" applyFill="1" applyBorder="1"/>
    <xf numFmtId="0" fontId="150" fillId="31" borderId="0" xfId="0" applyFont="1" applyFill="1" applyAlignment="1">
      <alignment vertical="center"/>
    </xf>
    <xf numFmtId="0" fontId="148" fillId="31" borderId="0" xfId="0" applyFont="1" applyFill="1" applyAlignment="1">
      <alignment horizontal="center"/>
    </xf>
    <xf numFmtId="0" fontId="150" fillId="30" borderId="0" xfId="0" applyFont="1" applyFill="1" applyAlignment="1">
      <alignment vertical="center"/>
    </xf>
    <xf numFmtId="0" fontId="2" fillId="7" borderId="139" xfId="0" applyFont="1" applyFill="1" applyBorder="1" applyAlignment="1" applyProtection="1">
      <alignment horizontal="center" vertical="center"/>
      <protection locked="0"/>
    </xf>
    <xf numFmtId="0" fontId="57" fillId="13" borderId="139" xfId="0" applyFont="1" applyFill="1" applyBorder="1" applyAlignment="1" applyProtection="1">
      <alignment horizontal="center" vertical="center"/>
      <protection locked="0"/>
    </xf>
    <xf numFmtId="0" fontId="2" fillId="7" borderId="152" xfId="0" applyFont="1" applyFill="1" applyBorder="1" applyAlignment="1" applyProtection="1">
      <alignment horizontal="center" vertical="center"/>
      <protection locked="0"/>
    </xf>
    <xf numFmtId="0" fontId="0" fillId="31" borderId="0" xfId="0" applyFill="1" applyAlignment="1">
      <alignment vertical="center"/>
    </xf>
    <xf numFmtId="0" fontId="0" fillId="33" borderId="0" xfId="0" applyFill="1" applyAlignment="1">
      <alignment vertical="center"/>
    </xf>
    <xf numFmtId="0" fontId="2" fillId="7" borderId="153" xfId="0" applyFont="1" applyFill="1" applyBorder="1" applyAlignment="1" applyProtection="1">
      <alignment horizontal="center" vertical="center"/>
      <protection locked="0"/>
    </xf>
    <xf numFmtId="0" fontId="58" fillId="7" borderId="120" xfId="0" applyFont="1" applyFill="1" applyBorder="1" applyAlignment="1">
      <alignment horizontal="center" vertical="center"/>
    </xf>
    <xf numFmtId="14" fontId="3" fillId="6" borderId="52" xfId="0" applyNumberFormat="1" applyFont="1" applyFill="1" applyBorder="1" applyAlignment="1" applyProtection="1">
      <alignment horizontal="left" vertical="center"/>
      <protection locked="0"/>
    </xf>
    <xf numFmtId="0" fontId="8" fillId="22" borderId="5" xfId="0" applyFont="1" applyFill="1" applyBorder="1" applyAlignment="1">
      <alignment horizontal="center" vertical="center"/>
    </xf>
    <xf numFmtId="0" fontId="8" fillId="22" borderId="8"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36" xfId="0" applyFont="1" applyFill="1" applyBorder="1" applyAlignment="1">
      <alignment horizontal="center" vertical="center"/>
    </xf>
    <xf numFmtId="3" fontId="25" fillId="2" borderId="103" xfId="0" applyNumberFormat="1" applyFont="1" applyFill="1" applyBorder="1" applyAlignment="1" applyProtection="1">
      <alignment horizontal="center" vertical="center"/>
      <protection locked="0"/>
    </xf>
    <xf numFmtId="3" fontId="25" fillId="2" borderId="103" xfId="0" applyNumberFormat="1" applyFont="1" applyFill="1" applyBorder="1" applyAlignment="1">
      <alignment horizontal="center" vertical="center"/>
    </xf>
    <xf numFmtId="10" fontId="25" fillId="2" borderId="103" xfId="0" applyNumberFormat="1" applyFont="1" applyFill="1" applyBorder="1" applyAlignment="1">
      <alignment horizontal="center" vertical="center"/>
    </xf>
    <xf numFmtId="0" fontId="13" fillId="22" borderId="5" xfId="0" applyFont="1" applyFill="1" applyBorder="1" applyAlignment="1">
      <alignment horizontal="center" vertical="center"/>
    </xf>
    <xf numFmtId="0" fontId="3" fillId="6" borderId="51" xfId="0" applyFont="1" applyFill="1" applyBorder="1" applyAlignment="1" applyProtection="1">
      <alignment vertical="center"/>
      <protection locked="0"/>
    </xf>
    <xf numFmtId="0" fontId="3" fillId="6" borderId="52" xfId="0" applyFont="1" applyFill="1" applyBorder="1" applyAlignment="1" applyProtection="1">
      <alignment vertical="center"/>
      <protection locked="0"/>
    </xf>
    <xf numFmtId="0" fontId="3" fillId="4" borderId="0" xfId="0" applyFont="1" applyFill="1"/>
    <xf numFmtId="14" fontId="3" fillId="22" borderId="10" xfId="3" applyNumberFormat="1" applyFill="1" applyBorder="1" applyAlignment="1">
      <alignment horizontal="center" vertical="center"/>
    </xf>
    <xf numFmtId="165" fontId="3" fillId="22" borderId="10" xfId="3" applyNumberFormat="1" applyFill="1" applyBorder="1" applyAlignment="1">
      <alignment horizontal="center" vertical="center" wrapText="1"/>
    </xf>
    <xf numFmtId="14" fontId="5" fillId="22" borderId="8" xfId="0" applyNumberFormat="1" applyFont="1" applyFill="1" applyBorder="1" applyAlignment="1">
      <alignment horizontal="center" vertical="center"/>
    </xf>
    <xf numFmtId="0" fontId="6" fillId="22" borderId="28" xfId="0" applyFont="1" applyFill="1" applyBorder="1" applyAlignment="1">
      <alignment horizontal="center" vertical="center" wrapText="1"/>
    </xf>
    <xf numFmtId="0" fontId="6" fillId="22" borderId="27" xfId="0" applyFont="1" applyFill="1" applyBorder="1" applyAlignment="1">
      <alignment horizontal="center" vertical="center" wrapText="1"/>
    </xf>
    <xf numFmtId="0" fontId="6" fillId="22" borderId="33" xfId="0" applyFont="1" applyFill="1" applyBorder="1" applyAlignment="1">
      <alignment horizontal="center" vertical="center" wrapText="1"/>
    </xf>
    <xf numFmtId="0" fontId="6" fillId="22" borderId="36" xfId="0" applyFont="1" applyFill="1" applyBorder="1" applyAlignment="1">
      <alignment horizontal="center" vertical="center" wrapText="1"/>
    </xf>
    <xf numFmtId="3" fontId="5" fillId="2" borderId="153" xfId="0" applyNumberFormat="1" applyFont="1" applyFill="1" applyBorder="1" applyAlignment="1">
      <alignment horizontal="center" vertical="center"/>
    </xf>
    <xf numFmtId="3" fontId="5" fillId="2" borderId="136" xfId="0" applyNumberFormat="1" applyFont="1" applyFill="1" applyBorder="1" applyAlignment="1">
      <alignment horizontal="center" vertical="center"/>
    </xf>
    <xf numFmtId="3" fontId="0" fillId="2" borderId="153" xfId="0" applyNumberFormat="1" applyFill="1" applyBorder="1" applyAlignment="1">
      <alignment horizontal="center" vertical="center"/>
    </xf>
    <xf numFmtId="14" fontId="3" fillId="22" borderId="11" xfId="3" applyNumberFormat="1" applyFill="1" applyBorder="1" applyAlignment="1">
      <alignment horizontal="center" vertical="center"/>
    </xf>
    <xf numFmtId="3" fontId="0" fillId="2" borderId="3" xfId="0" applyNumberFormat="1" applyFill="1" applyBorder="1" applyAlignment="1">
      <alignment horizontal="center" vertical="center"/>
    </xf>
    <xf numFmtId="0" fontId="68" fillId="23" borderId="0" xfId="0" applyFont="1" applyFill="1" applyAlignment="1">
      <alignment horizontal="left" vertical="center"/>
    </xf>
    <xf numFmtId="0" fontId="161" fillId="22" borderId="0" xfId="0" applyFont="1" applyFill="1" applyAlignment="1">
      <alignment horizontal="center" vertical="center"/>
    </xf>
    <xf numFmtId="0" fontId="36" fillId="2" borderId="122" xfId="0" applyFont="1" applyFill="1" applyBorder="1" applyAlignment="1">
      <alignment horizontal="center" vertical="center"/>
    </xf>
    <xf numFmtId="0" fontId="3" fillId="7" borderId="120" xfId="0" applyFont="1" applyFill="1" applyBorder="1" applyAlignment="1">
      <alignment vertical="center"/>
    </xf>
    <xf numFmtId="3" fontId="3" fillId="7" borderId="0" xfId="0" applyNumberFormat="1" applyFont="1" applyFill="1" applyAlignment="1" applyProtection="1">
      <alignment horizontal="left" vertical="center"/>
      <protection locked="0"/>
    </xf>
    <xf numFmtId="0" fontId="3" fillId="7" borderId="0" xfId="0" applyFont="1" applyFill="1" applyAlignment="1">
      <alignment horizontal="left" vertical="center"/>
    </xf>
    <xf numFmtId="0" fontId="0" fillId="30" borderId="144" xfId="0" applyFill="1" applyBorder="1" applyAlignment="1">
      <alignment vertical="center"/>
    </xf>
    <xf numFmtId="0" fontId="148" fillId="31" borderId="0" xfId="0" applyFont="1" applyFill="1"/>
    <xf numFmtId="0" fontId="116" fillId="30" borderId="0" xfId="0" applyFont="1" applyFill="1"/>
    <xf numFmtId="0" fontId="91" fillId="31" borderId="145" xfId="0" applyFont="1" applyFill="1" applyBorder="1" applyAlignment="1">
      <alignment horizontal="center"/>
    </xf>
    <xf numFmtId="0" fontId="0" fillId="30" borderId="146" xfId="0" applyFill="1" applyBorder="1"/>
    <xf numFmtId="0" fontId="0" fillId="30" borderId="147" xfId="0" applyFill="1" applyBorder="1"/>
    <xf numFmtId="0" fontId="153" fillId="28" borderId="148" xfId="0" applyFont="1" applyFill="1" applyBorder="1" applyAlignment="1">
      <alignment vertical="center"/>
    </xf>
    <xf numFmtId="0" fontId="154" fillId="29" borderId="149" xfId="0" applyFont="1" applyFill="1" applyBorder="1" applyAlignment="1">
      <alignment vertical="center"/>
    </xf>
    <xf numFmtId="0" fontId="154" fillId="29" borderId="150" xfId="0" applyFont="1" applyFill="1" applyBorder="1" applyAlignment="1">
      <alignment vertical="center"/>
    </xf>
    <xf numFmtId="0" fontId="116" fillId="30" borderId="143" xfId="0" applyFont="1" applyFill="1" applyBorder="1"/>
    <xf numFmtId="0" fontId="155" fillId="31" borderId="143" xfId="0" applyFont="1" applyFill="1" applyBorder="1" applyAlignment="1">
      <alignment horizontal="left" vertical="center"/>
    </xf>
    <xf numFmtId="0" fontId="0" fillId="30" borderId="143" xfId="0" applyFill="1" applyBorder="1"/>
    <xf numFmtId="0" fontId="157" fillId="32" borderId="0" xfId="0" applyFont="1" applyFill="1" applyAlignment="1">
      <alignment horizontal="center"/>
    </xf>
    <xf numFmtId="0" fontId="149" fillId="33" borderId="0" xfId="0" applyFont="1" applyFill="1" applyAlignment="1">
      <alignment horizontal="left"/>
    </xf>
    <xf numFmtId="0" fontId="116" fillId="33" borderId="143" xfId="0" applyFont="1" applyFill="1" applyBorder="1" applyAlignment="1">
      <alignment vertical="center"/>
    </xf>
    <xf numFmtId="0" fontId="149" fillId="33" borderId="144" xfId="0" applyFont="1" applyFill="1" applyBorder="1" applyAlignment="1">
      <alignment horizontal="left"/>
    </xf>
    <xf numFmtId="0" fontId="3" fillId="23" borderId="155" xfId="0" applyFont="1" applyFill="1" applyBorder="1"/>
    <xf numFmtId="0" fontId="7" fillId="24" borderId="0" xfId="0" applyFont="1" applyFill="1" applyAlignment="1">
      <alignment horizontal="center"/>
    </xf>
    <xf numFmtId="0" fontId="57" fillId="13" borderId="153" xfId="0" applyFont="1" applyFill="1" applyBorder="1" applyAlignment="1" applyProtection="1">
      <alignment horizontal="center" vertical="center"/>
      <protection locked="0"/>
    </xf>
    <xf numFmtId="0" fontId="0" fillId="23" borderId="155" xfId="0" applyFill="1" applyBorder="1"/>
    <xf numFmtId="0" fontId="58" fillId="23" borderId="0" xfId="0" applyFont="1" applyFill="1" applyAlignment="1">
      <alignment horizontal="center"/>
    </xf>
    <xf numFmtId="0" fontId="0" fillId="19" borderId="144" xfId="0" applyFill="1" applyBorder="1" applyAlignment="1">
      <alignment vertical="center"/>
    </xf>
    <xf numFmtId="0" fontId="3" fillId="23" borderId="155" xfId="0" applyFont="1" applyFill="1" applyBorder="1" applyAlignment="1">
      <alignment vertical="center"/>
    </xf>
    <xf numFmtId="0" fontId="3" fillId="23" borderId="119" xfId="0" applyFont="1" applyFill="1" applyBorder="1" applyAlignment="1">
      <alignment vertical="center"/>
    </xf>
    <xf numFmtId="0" fontId="75" fillId="23" borderId="155" xfId="0" applyFont="1" applyFill="1" applyBorder="1" applyAlignment="1">
      <alignment horizontal="left" vertical="center"/>
    </xf>
    <xf numFmtId="0" fontId="0" fillId="23" borderId="119" xfId="0" applyFill="1" applyBorder="1" applyAlignment="1">
      <alignment vertical="center"/>
    </xf>
    <xf numFmtId="0" fontId="3" fillId="23" borderId="134" xfId="0" applyFont="1" applyFill="1" applyBorder="1" applyAlignment="1">
      <alignment vertical="center"/>
    </xf>
    <xf numFmtId="0" fontId="142" fillId="23" borderId="119" xfId="0" applyFont="1" applyFill="1" applyBorder="1" applyAlignment="1">
      <alignment horizontal="left"/>
    </xf>
    <xf numFmtId="0" fontId="142" fillId="23" borderId="0" xfId="0" applyFont="1" applyFill="1" applyAlignment="1">
      <alignment horizontal="left"/>
    </xf>
    <xf numFmtId="0" fontId="142" fillId="23" borderId="62" xfId="0" applyFont="1" applyFill="1" applyBorder="1" applyAlignment="1">
      <alignment horizontal="left"/>
    </xf>
    <xf numFmtId="3" fontId="5" fillId="2" borderId="153" xfId="10" applyNumberFormat="1" applyFont="1" applyFill="1" applyBorder="1" applyAlignment="1">
      <alignment horizontal="center" vertical="center"/>
    </xf>
    <xf numFmtId="0" fontId="3" fillId="7" borderId="0" xfId="10" applyFill="1"/>
    <xf numFmtId="0" fontId="3" fillId="0" borderId="0" xfId="10"/>
    <xf numFmtId="0" fontId="11" fillId="6" borderId="154" xfId="10" applyFont="1" applyFill="1" applyBorder="1" applyAlignment="1">
      <alignment horizontal="center" vertical="center" wrapText="1"/>
    </xf>
    <xf numFmtId="0" fontId="11" fillId="6" borderId="94" xfId="10" applyFont="1" applyFill="1" applyBorder="1" applyAlignment="1">
      <alignment horizontal="center" vertical="center" wrapText="1"/>
    </xf>
    <xf numFmtId="0" fontId="8" fillId="3" borderId="10" xfId="10" applyFont="1" applyFill="1" applyBorder="1" applyAlignment="1">
      <alignment horizontal="center" vertical="center"/>
    </xf>
    <xf numFmtId="0" fontId="3" fillId="0" borderId="153" xfId="10" applyBorder="1" applyAlignment="1">
      <alignment horizontal="center" vertical="center"/>
    </xf>
    <xf numFmtId="0" fontId="3" fillId="0" borderId="153" xfId="10" applyBorder="1" applyAlignment="1" applyProtection="1">
      <alignment horizontal="center" vertical="center"/>
      <protection locked="0"/>
    </xf>
    <xf numFmtId="0" fontId="3" fillId="0" borderId="1" xfId="10" applyBorder="1" applyAlignment="1" applyProtection="1">
      <alignment horizontal="center" vertical="center"/>
      <protection locked="0"/>
    </xf>
    <xf numFmtId="0" fontId="8" fillId="3" borderId="11" xfId="10" applyFont="1" applyFill="1" applyBorder="1" applyAlignment="1">
      <alignment horizontal="center" vertical="center"/>
    </xf>
    <xf numFmtId="0" fontId="3" fillId="0" borderId="3" xfId="10" applyBorder="1" applyAlignment="1">
      <alignment horizontal="center" vertical="center"/>
    </xf>
    <xf numFmtId="0" fontId="3" fillId="0" borderId="9" xfId="10" applyBorder="1" applyAlignment="1">
      <alignment horizontal="center" vertical="center"/>
    </xf>
    <xf numFmtId="0" fontId="0" fillId="0" borderId="9" xfId="0" applyBorder="1" applyAlignment="1">
      <alignment horizontal="center" vertical="center"/>
    </xf>
    <xf numFmtId="10" fontId="0" fillId="0" borderId="0" xfId="0" applyNumberFormat="1"/>
    <xf numFmtId="0" fontId="0" fillId="0" borderId="120" xfId="0" applyBorder="1" applyAlignment="1">
      <alignment vertical="center"/>
    </xf>
    <xf numFmtId="0" fontId="0" fillId="30" borderId="0" xfId="0" applyFill="1"/>
    <xf numFmtId="0" fontId="0" fillId="30" borderId="144" xfId="0" applyFill="1" applyBorder="1"/>
    <xf numFmtId="0" fontId="116" fillId="30" borderId="144" xfId="0" applyFont="1" applyFill="1" applyBorder="1"/>
    <xf numFmtId="0" fontId="11" fillId="31" borderId="0" xfId="0" applyFont="1" applyFill="1"/>
    <xf numFmtId="0" fontId="3" fillId="19" borderId="0" xfId="0" applyFont="1" applyFill="1"/>
    <xf numFmtId="0" fontId="11" fillId="23" borderId="0" xfId="0" applyFont="1" applyFill="1"/>
    <xf numFmtId="0" fontId="0" fillId="23" borderId="143" xfId="0" applyFill="1" applyBorder="1"/>
    <xf numFmtId="0" fontId="0" fillId="0" borderId="165" xfId="0" applyBorder="1" applyAlignment="1">
      <alignment vertical="center"/>
    </xf>
    <xf numFmtId="0" fontId="0" fillId="31" borderId="167" xfId="0" applyFill="1" applyBorder="1"/>
    <xf numFmtId="0" fontId="2" fillId="7" borderId="169" xfId="0" applyFont="1" applyFill="1" applyBorder="1" applyAlignment="1" applyProtection="1">
      <alignment horizontal="center" vertical="center"/>
      <protection locked="0"/>
    </xf>
    <xf numFmtId="0" fontId="57" fillId="13" borderId="171" xfId="0" applyFont="1" applyFill="1" applyBorder="1" applyAlignment="1" applyProtection="1">
      <alignment horizontal="center" vertical="center"/>
      <protection locked="0"/>
    </xf>
    <xf numFmtId="0" fontId="0" fillId="19" borderId="144" xfId="0" applyFill="1" applyBorder="1"/>
    <xf numFmtId="0" fontId="0" fillId="23" borderId="144" xfId="0" applyFill="1" applyBorder="1"/>
    <xf numFmtId="0" fontId="57" fillId="24" borderId="171" xfId="0" applyFont="1" applyFill="1" applyBorder="1" applyAlignment="1" applyProtection="1">
      <alignment horizontal="center" vertical="center"/>
      <protection locked="0"/>
    </xf>
    <xf numFmtId="0" fontId="3" fillId="19" borderId="144" xfId="0" applyFont="1" applyFill="1" applyBorder="1"/>
    <xf numFmtId="0" fontId="2" fillId="7" borderId="171" xfId="0" applyFont="1" applyFill="1" applyBorder="1" applyAlignment="1" applyProtection="1">
      <alignment horizontal="center" vertical="center"/>
      <protection locked="0"/>
    </xf>
    <xf numFmtId="0" fontId="81" fillId="7" borderId="165" xfId="0" applyFont="1" applyFill="1" applyBorder="1" applyAlignment="1">
      <alignment vertical="center"/>
    </xf>
    <xf numFmtId="0" fontId="31" fillId="7" borderId="0" xfId="0" applyFont="1" applyFill="1"/>
    <xf numFmtId="0" fontId="81" fillId="22" borderId="0" xfId="0" applyFont="1" applyFill="1" applyAlignment="1">
      <alignment horizontal="left" vertical="center" wrapText="1"/>
    </xf>
    <xf numFmtId="0" fontId="2" fillId="2" borderId="41" xfId="0" applyFont="1" applyFill="1" applyBorder="1" applyAlignment="1" applyProtection="1">
      <alignment horizontal="center" vertical="center"/>
      <protection locked="0"/>
    </xf>
    <xf numFmtId="0" fontId="66" fillId="22" borderId="0" xfId="7" applyFont="1" applyFill="1"/>
    <xf numFmtId="0" fontId="140" fillId="22" borderId="0" xfId="5" applyFont="1" applyFill="1" applyAlignment="1" applyProtection="1"/>
    <xf numFmtId="0" fontId="118" fillId="22" borderId="0" xfId="7" applyFont="1" applyFill="1" applyAlignment="1">
      <alignment wrapText="1" shrinkToFit="1"/>
    </xf>
    <xf numFmtId="0" fontId="119" fillId="22" borderId="0" xfId="8" applyFont="1" applyFill="1" applyAlignment="1">
      <alignment wrapText="1"/>
    </xf>
    <xf numFmtId="3" fontId="25" fillId="2" borderId="171" xfId="0" applyNumberFormat="1" applyFont="1" applyFill="1" applyBorder="1" applyAlignment="1" applyProtection="1">
      <alignment horizontal="center" vertical="center"/>
      <protection locked="0"/>
    </xf>
    <xf numFmtId="0" fontId="3" fillId="19" borderId="119" xfId="0" applyFont="1" applyFill="1" applyBorder="1"/>
    <xf numFmtId="0" fontId="11" fillId="19" borderId="166" xfId="0" applyFont="1" applyFill="1" applyBorder="1" applyAlignment="1">
      <alignment horizontal="right" vertical="center" wrapText="1"/>
    </xf>
    <xf numFmtId="0" fontId="2" fillId="0" borderId="93" xfId="0" applyFont="1" applyBorder="1" applyAlignment="1" applyProtection="1">
      <alignment horizontal="center" vertical="center" wrapText="1"/>
      <protection locked="0"/>
    </xf>
    <xf numFmtId="0" fontId="11" fillId="0" borderId="93" xfId="0" applyFont="1" applyBorder="1" applyAlignment="1">
      <alignment horizontal="right" vertical="center" wrapText="1"/>
    </xf>
    <xf numFmtId="0" fontId="25" fillId="7" borderId="2" xfId="0" applyFont="1" applyFill="1" applyBorder="1" applyAlignment="1">
      <alignment horizontal="center" vertical="center"/>
    </xf>
    <xf numFmtId="49" fontId="167" fillId="19" borderId="11" xfId="11" applyNumberFormat="1" applyFont="1" applyFill="1" applyBorder="1" applyAlignment="1">
      <alignment horizontal="left" vertical="center" indent="1"/>
    </xf>
    <xf numFmtId="0" fontId="58" fillId="7" borderId="165" xfId="0" applyFont="1" applyFill="1" applyBorder="1" applyAlignment="1">
      <alignment horizontal="center" vertical="center"/>
    </xf>
    <xf numFmtId="0" fontId="3" fillId="2" borderId="164" xfId="0" applyFont="1" applyFill="1" applyBorder="1" applyAlignment="1">
      <alignment vertical="center"/>
    </xf>
    <xf numFmtId="0" fontId="2" fillId="7" borderId="2" xfId="0" applyFont="1" applyFill="1" applyBorder="1" applyAlignment="1">
      <alignment horizontal="center" vertical="center"/>
    </xf>
    <xf numFmtId="0" fontId="140" fillId="6" borderId="0" xfId="5" applyFont="1" applyFill="1" applyAlignment="1" applyProtection="1">
      <alignment horizontal="center" wrapText="1"/>
    </xf>
    <xf numFmtId="0" fontId="136" fillId="3" borderId="0" xfId="0" applyFont="1" applyFill="1" applyAlignment="1">
      <alignment horizontal="left" vertical="center" wrapText="1"/>
    </xf>
    <xf numFmtId="0" fontId="0" fillId="2" borderId="0" xfId="0" applyFill="1" applyAlignment="1">
      <alignment vertical="top" wrapText="1"/>
    </xf>
    <xf numFmtId="0" fontId="30" fillId="3" borderId="0" xfId="0" applyFont="1" applyFill="1" applyAlignment="1">
      <alignment horizontal="left" vertical="center" wrapText="1"/>
    </xf>
    <xf numFmtId="0" fontId="139" fillId="3" borderId="0" xfId="0" applyFont="1" applyFill="1" applyAlignment="1">
      <alignment horizontal="left" vertical="center" wrapText="1"/>
    </xf>
    <xf numFmtId="0" fontId="29" fillId="3" borderId="0" xfId="0" applyFont="1" applyFill="1" applyAlignment="1">
      <alignment horizontal="center" wrapText="1"/>
    </xf>
    <xf numFmtId="0" fontId="82" fillId="2" borderId="0" xfId="0" applyFont="1" applyFill="1" applyAlignment="1">
      <alignment vertical="center"/>
    </xf>
    <xf numFmtId="0" fontId="65" fillId="3" borderId="0" xfId="0" applyFont="1" applyFill="1" applyAlignment="1">
      <alignment horizontal="center" wrapText="1"/>
    </xf>
    <xf numFmtId="0" fontId="136" fillId="3" borderId="0" xfId="0" applyFont="1" applyFill="1" applyAlignment="1">
      <alignment horizontal="center"/>
    </xf>
    <xf numFmtId="0" fontId="30" fillId="3" borderId="0" xfId="0" applyFont="1" applyFill="1" applyAlignment="1">
      <alignment horizontal="center" vertical="center" wrapText="1"/>
    </xf>
    <xf numFmtId="0" fontId="163" fillId="3" borderId="0" xfId="0" applyFont="1" applyFill="1" applyAlignment="1">
      <alignment horizontal="center" vertical="center" wrapText="1"/>
    </xf>
    <xf numFmtId="0" fontId="89" fillId="0" borderId="0" xfId="0" applyFont="1" applyAlignment="1">
      <alignment horizontal="left" vertical="center" wrapText="1"/>
    </xf>
    <xf numFmtId="0" fontId="66" fillId="22" borderId="0" xfId="7" applyFont="1" applyFill="1"/>
    <xf numFmtId="0" fontId="5" fillId="22" borderId="0" xfId="7" applyFill="1"/>
    <xf numFmtId="0" fontId="0" fillId="15" borderId="0" xfId="0" applyFill="1"/>
    <xf numFmtId="0" fontId="0" fillId="0" borderId="0" xfId="0"/>
    <xf numFmtId="0" fontId="71" fillId="7" borderId="0" xfId="0" applyFont="1" applyFill="1" applyAlignment="1">
      <alignment horizontal="center" vertical="center"/>
    </xf>
    <xf numFmtId="0" fontId="71" fillId="7" borderId="67" xfId="0" applyFont="1" applyFill="1" applyBorder="1" applyAlignment="1">
      <alignment vertical="center"/>
    </xf>
    <xf numFmtId="0" fontId="0" fillId="0" borderId="68" xfId="0" applyBorder="1" applyAlignment="1">
      <alignment vertical="center"/>
    </xf>
    <xf numFmtId="0" fontId="74" fillId="7" borderId="0" xfId="0" applyFont="1" applyFill="1" applyAlignment="1">
      <alignment horizontal="center" vertical="center"/>
    </xf>
    <xf numFmtId="0" fontId="0" fillId="0" borderId="0" xfId="0" applyAlignment="1">
      <alignment horizontal="center" vertical="center"/>
    </xf>
    <xf numFmtId="0" fontId="85" fillId="7" borderId="0" xfId="0" applyFont="1" applyFill="1" applyAlignment="1">
      <alignment horizontal="center" vertical="center"/>
    </xf>
    <xf numFmtId="0" fontId="5" fillId="2" borderId="22" xfId="0" applyFont="1" applyFill="1" applyBorder="1" applyAlignment="1" applyProtection="1">
      <alignment horizontal="center"/>
      <protection locked="0"/>
    </xf>
    <xf numFmtId="0" fontId="0" fillId="0" borderId="22" xfId="0" applyBorder="1" applyProtection="1">
      <protection locked="0"/>
    </xf>
    <xf numFmtId="0" fontId="0" fillId="0" borderId="70" xfId="0" applyBorder="1" applyProtection="1">
      <protection locked="0"/>
    </xf>
    <xf numFmtId="49" fontId="5" fillId="2" borderId="24" xfId="0" applyNumberFormat="1" applyFont="1" applyFill="1" applyBorder="1" applyAlignment="1" applyProtection="1">
      <alignment horizontal="center"/>
      <protection locked="0"/>
    </xf>
    <xf numFmtId="0" fontId="26" fillId="0" borderId="57" xfId="0" applyFont="1" applyBorder="1" applyAlignment="1" applyProtection="1">
      <alignment horizontal="center"/>
      <protection locked="0"/>
    </xf>
    <xf numFmtId="0" fontId="25" fillId="2" borderId="20" xfId="0" applyFont="1" applyFill="1" applyBorder="1" applyAlignment="1" applyProtection="1">
      <alignment horizontal="center"/>
      <protection locked="0"/>
    </xf>
    <xf numFmtId="0" fontId="25" fillId="7" borderId="58" xfId="0" applyFont="1" applyFill="1" applyBorder="1" applyAlignment="1" applyProtection="1">
      <alignment horizontal="center"/>
      <protection locked="0"/>
    </xf>
    <xf numFmtId="0" fontId="8" fillId="3" borderId="0" xfId="0" applyFont="1" applyFill="1" applyAlignment="1">
      <alignment horizontal="left"/>
    </xf>
    <xf numFmtId="0" fontId="20" fillId="3" borderId="34" xfId="0" applyFont="1" applyFill="1" applyBorder="1" applyAlignment="1">
      <alignment horizontal="right"/>
    </xf>
    <xf numFmtId="0" fontId="23" fillId="2" borderId="2" xfId="0" applyFont="1" applyFill="1" applyBorder="1" applyAlignment="1">
      <alignment horizontal="center" vertical="center"/>
    </xf>
    <xf numFmtId="0" fontId="0" fillId="0" borderId="2" xfId="0" applyBorder="1" applyAlignment="1">
      <alignment vertical="center"/>
    </xf>
    <xf numFmtId="0" fontId="13" fillId="3" borderId="0" xfId="0" applyFont="1" applyFill="1"/>
    <xf numFmtId="0" fontId="27" fillId="3" borderId="0" xfId="0" applyFont="1" applyFill="1" applyAlignment="1">
      <alignment horizontal="center"/>
    </xf>
    <xf numFmtId="0" fontId="0" fillId="0" borderId="0" xfId="0" applyAlignment="1">
      <alignment horizontal="center"/>
    </xf>
    <xf numFmtId="0" fontId="0" fillId="6" borderId="0" xfId="0" applyFill="1" applyAlignment="1">
      <alignment horizontal="center"/>
    </xf>
    <xf numFmtId="14" fontId="5" fillId="2" borderId="26" xfId="0" applyNumberFormat="1" applyFont="1" applyFill="1" applyBorder="1" applyAlignment="1" applyProtection="1">
      <alignment horizontal="center"/>
      <protection locked="0"/>
    </xf>
    <xf numFmtId="0" fontId="0" fillId="2" borderId="71" xfId="0" applyFill="1" applyBorder="1" applyAlignment="1" applyProtection="1">
      <alignment horizontal="center"/>
      <protection locked="0"/>
    </xf>
    <xf numFmtId="0" fontId="6" fillId="3" borderId="0" xfId="0" applyFont="1" applyFill="1" applyAlignment="1">
      <alignment horizontal="center"/>
    </xf>
    <xf numFmtId="0" fontId="8" fillId="3"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0" fillId="3" borderId="0" xfId="0" applyFont="1" applyFill="1" applyAlignment="1">
      <alignment horizontal="right"/>
    </xf>
    <xf numFmtId="0" fontId="0" fillId="0" borderId="0" xfId="0" applyAlignment="1">
      <alignment horizontal="right"/>
    </xf>
    <xf numFmtId="0" fontId="64" fillId="2" borderId="24" xfId="0" applyFont="1" applyFill="1" applyBorder="1" applyAlignment="1" applyProtection="1">
      <alignment horizontal="center" vertical="center" wrapText="1"/>
      <protection locked="0"/>
    </xf>
    <xf numFmtId="0" fontId="42" fillId="7" borderId="44" xfId="0" applyFont="1" applyFill="1" applyBorder="1" applyAlignment="1" applyProtection="1">
      <alignment horizontal="center" vertical="center" wrapText="1"/>
      <protection locked="0"/>
    </xf>
    <xf numFmtId="49" fontId="52" fillId="2" borderId="24" xfId="5"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6" fillId="3" borderId="40" xfId="0" applyFont="1" applyFill="1" applyBorder="1" applyAlignment="1">
      <alignment horizontal="center"/>
    </xf>
    <xf numFmtId="0" fontId="0" fillId="0" borderId="40" xfId="0" applyBorder="1" applyAlignment="1">
      <alignment horizontal="center"/>
    </xf>
    <xf numFmtId="0" fontId="25" fillId="6" borderId="0" xfId="0" applyFont="1" applyFill="1"/>
    <xf numFmtId="0" fontId="13" fillId="3" borderId="72" xfId="0" applyFont="1" applyFill="1" applyBorder="1" applyAlignment="1">
      <alignment horizontal="center" wrapText="1"/>
    </xf>
    <xf numFmtId="0" fontId="0" fillId="0" borderId="72" xfId="0" applyBorder="1"/>
    <xf numFmtId="49" fontId="8" fillId="3" borderId="0" xfId="0" applyNumberFormat="1" applyFont="1" applyFill="1" applyAlignment="1">
      <alignment horizontal="left" vertical="center"/>
    </xf>
    <xf numFmtId="0" fontId="0" fillId="6" borderId="0" xfId="0" applyFill="1" applyAlignment="1">
      <alignment vertical="center"/>
    </xf>
    <xf numFmtId="0" fontId="0" fillId="0" borderId="37" xfId="0" applyBorder="1" applyAlignment="1">
      <alignment vertical="center"/>
    </xf>
    <xf numFmtId="0" fontId="8" fillId="2" borderId="7" xfId="0" applyFont="1" applyFill="1" applyBorder="1" applyAlignment="1">
      <alignment horizontal="left" vertical="top"/>
    </xf>
    <xf numFmtId="0" fontId="0" fillId="0" borderId="24" xfId="0" applyBorder="1"/>
    <xf numFmtId="0" fontId="25" fillId="2" borderId="20" xfId="0" applyFont="1" applyFill="1" applyBorder="1" applyAlignment="1" applyProtection="1">
      <alignment horizontal="left"/>
      <protection locked="0"/>
    </xf>
    <xf numFmtId="0" fontId="26" fillId="0" borderId="20" xfId="0" applyFont="1" applyBorder="1" applyProtection="1">
      <protection locked="0"/>
    </xf>
    <xf numFmtId="0" fontId="26" fillId="0" borderId="58" xfId="0" applyFont="1" applyBorder="1" applyProtection="1">
      <protection locked="0"/>
    </xf>
    <xf numFmtId="49" fontId="5" fillId="2" borderId="22" xfId="0" applyNumberFormat="1" applyFont="1" applyFill="1" applyBorder="1" applyAlignment="1" applyProtection="1">
      <alignment horizontal="center"/>
      <protection locked="0"/>
    </xf>
    <xf numFmtId="49" fontId="0" fillId="0" borderId="72" xfId="0" applyNumberFormat="1" applyBorder="1" applyProtection="1">
      <protection locked="0"/>
    </xf>
    <xf numFmtId="49" fontId="0" fillId="0" borderId="73" xfId="0" applyNumberFormat="1" applyBorder="1" applyProtection="1">
      <protection locked="0"/>
    </xf>
    <xf numFmtId="49" fontId="20" fillId="3" borderId="0" xfId="0" applyNumberFormat="1" applyFont="1" applyFill="1"/>
    <xf numFmtId="49" fontId="25" fillId="0" borderId="0" xfId="0" applyNumberFormat="1" applyFont="1"/>
    <xf numFmtId="49" fontId="40" fillId="3" borderId="40" xfId="0" applyNumberFormat="1" applyFont="1" applyFill="1" applyBorder="1"/>
    <xf numFmtId="49" fontId="25" fillId="0" borderId="40" xfId="0" applyNumberFormat="1" applyFont="1" applyBorder="1"/>
    <xf numFmtId="0" fontId="0" fillId="0" borderId="40" xfId="0" applyBorder="1"/>
    <xf numFmtId="0" fontId="8" fillId="2" borderId="3" xfId="0" applyFont="1" applyFill="1" applyBorder="1" applyAlignment="1">
      <alignment horizontal="left" wrapText="1"/>
    </xf>
    <xf numFmtId="0" fontId="0" fillId="0" borderId="7" xfId="0" applyBorder="1"/>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40" fillId="3" borderId="40" xfId="0" applyFont="1" applyFill="1" applyBorder="1"/>
    <xf numFmtId="0" fontId="25" fillId="0" borderId="40" xfId="0" applyFont="1" applyBorder="1"/>
    <xf numFmtId="0" fontId="20" fillId="3" borderId="72" xfId="0" applyFont="1" applyFill="1" applyBorder="1"/>
    <xf numFmtId="0" fontId="25" fillId="0" borderId="72" xfId="0" applyFont="1" applyBorder="1"/>
    <xf numFmtId="3" fontId="130" fillId="2" borderId="24" xfId="5" applyNumberFormat="1" applyFont="1" applyFill="1" applyBorder="1" applyAlignment="1" applyProtection="1">
      <alignment horizontal="center" wrapText="1"/>
      <protection locked="0"/>
    </xf>
    <xf numFmtId="0" fontId="131" fillId="2" borderId="57" xfId="0" applyFont="1" applyFill="1" applyBorder="1" applyAlignment="1" applyProtection="1">
      <alignment horizontal="center" wrapText="1"/>
      <protection locked="0"/>
    </xf>
    <xf numFmtId="0" fontId="15" fillId="3" borderId="0" xfId="0" applyFont="1" applyFill="1" applyAlignment="1">
      <alignment horizontal="right"/>
    </xf>
    <xf numFmtId="0" fontId="11" fillId="0" borderId="0" xfId="0" applyFont="1" applyAlignment="1">
      <alignment horizontal="right"/>
    </xf>
    <xf numFmtId="0" fontId="5" fillId="2" borderId="26" xfId="0" applyFont="1" applyFill="1" applyBorder="1" applyAlignment="1">
      <alignment horizontal="left"/>
    </xf>
    <xf numFmtId="0" fontId="5" fillId="2" borderId="23" xfId="0" applyFont="1" applyFill="1" applyBorder="1" applyAlignment="1">
      <alignment horizontal="left"/>
    </xf>
    <xf numFmtId="0" fontId="5" fillId="2" borderId="71" xfId="0" applyFont="1" applyFill="1" applyBorder="1" applyAlignment="1">
      <alignment horizontal="left"/>
    </xf>
    <xf numFmtId="49" fontId="13" fillId="3" borderId="0" xfId="0" applyNumberFormat="1" applyFont="1" applyFill="1" applyAlignment="1">
      <alignment horizontal="left" vertical="center" wrapText="1"/>
    </xf>
    <xf numFmtId="0" fontId="13" fillId="6" borderId="0" xfId="0" applyFont="1" applyFill="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22" fillId="3" borderId="0" xfId="0" applyFont="1" applyFill="1" applyAlignment="1">
      <alignment horizontal="center"/>
    </xf>
    <xf numFmtId="0" fontId="10" fillId="3" borderId="0" xfId="0" applyFont="1" applyFill="1" applyAlignment="1">
      <alignment horizontal="center"/>
    </xf>
    <xf numFmtId="0" fontId="20"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7" fillId="6" borderId="34" xfId="0" applyFont="1" applyFill="1" applyBorder="1" applyAlignment="1">
      <alignment horizontal="center" vertical="center"/>
    </xf>
    <xf numFmtId="0" fontId="27" fillId="6" borderId="37" xfId="0" applyFont="1" applyFill="1" applyBorder="1" applyAlignment="1">
      <alignment horizontal="center" vertical="center"/>
    </xf>
    <xf numFmtId="14" fontId="13" fillId="3" borderId="0" xfId="0" applyNumberFormat="1" applyFont="1" applyFill="1" applyAlignment="1">
      <alignment horizontal="right" wrapText="1"/>
    </xf>
    <xf numFmtId="0" fontId="0" fillId="6" borderId="0" xfId="0" applyFill="1" applyAlignment="1">
      <alignment wrapText="1"/>
    </xf>
    <xf numFmtId="0" fontId="6" fillId="2" borderId="22" xfId="0" applyFont="1" applyFill="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70" xfId="0" applyFont="1" applyBorder="1" applyAlignment="1" applyProtection="1">
      <alignment horizontal="center"/>
      <protection locked="0"/>
    </xf>
    <xf numFmtId="0" fontId="2" fillId="0" borderId="70" xfId="0" applyFont="1" applyBorder="1" applyAlignment="1" applyProtection="1">
      <alignment horizontal="center"/>
      <protection locked="0"/>
    </xf>
    <xf numFmtId="0" fontId="20" fillId="7" borderId="22" xfId="0" applyFont="1" applyFill="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8" fillId="2" borderId="33" xfId="0" applyFont="1" applyFill="1" applyBorder="1" applyAlignment="1">
      <alignment vertical="top" wrapText="1"/>
    </xf>
    <xf numFmtId="0" fontId="0" fillId="0" borderId="22" xfId="0" applyBorder="1" applyAlignment="1">
      <alignment vertical="top" wrapText="1"/>
    </xf>
    <xf numFmtId="0" fontId="0" fillId="0" borderId="72" xfId="0" applyBorder="1" applyProtection="1">
      <protection locked="0"/>
    </xf>
    <xf numFmtId="0" fontId="0" fillId="0" borderId="73" xfId="0" applyBorder="1" applyProtection="1">
      <protection locked="0"/>
    </xf>
    <xf numFmtId="0" fontId="25" fillId="7" borderId="24" xfId="0" applyFont="1" applyFill="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5" fillId="2" borderId="24" xfId="0" applyFont="1" applyFill="1" applyBorder="1" applyAlignment="1" applyProtection="1">
      <alignment horizontal="center"/>
      <protection locked="0"/>
    </xf>
    <xf numFmtId="0" fontId="26" fillId="0" borderId="24" xfId="0" applyFont="1" applyBorder="1" applyAlignment="1" applyProtection="1">
      <alignment horizontal="center"/>
      <protection locked="0"/>
    </xf>
    <xf numFmtId="0" fontId="6" fillId="3" borderId="40" xfId="0" applyFont="1" applyFill="1" applyBorder="1"/>
    <xf numFmtId="0" fontId="7" fillId="3" borderId="0" xfId="0" applyFont="1" applyFill="1" applyAlignment="1">
      <alignment horizontal="center"/>
    </xf>
    <xf numFmtId="0" fontId="12" fillId="0" borderId="0" xfId="0" applyFont="1" applyAlignment="1">
      <alignment horizontal="center"/>
    </xf>
    <xf numFmtId="0" fontId="5" fillId="3" borderId="37" xfId="0" applyFont="1" applyFill="1" applyBorder="1"/>
    <xf numFmtId="0" fontId="0" fillId="0" borderId="37" xfId="0" applyBorder="1"/>
    <xf numFmtId="0" fontId="5" fillId="3" borderId="0" xfId="0" applyFont="1" applyFill="1"/>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71" xfId="0" applyFill="1" applyBorder="1" applyAlignment="1" applyProtection="1">
      <alignment horizontal="left"/>
      <protection locked="0"/>
    </xf>
    <xf numFmtId="0" fontId="3" fillId="2" borderId="26" xfId="5" applyFont="1" applyFill="1" applyBorder="1" applyAlignment="1" applyProtection="1">
      <alignment horizontal="left"/>
    </xf>
    <xf numFmtId="0" fontId="26" fillId="7" borderId="23" xfId="0" applyFont="1" applyFill="1" applyBorder="1" applyAlignment="1">
      <alignment horizontal="left"/>
    </xf>
    <xf numFmtId="0" fontId="26" fillId="7" borderId="71" xfId="0" applyFont="1" applyFill="1" applyBorder="1" applyAlignment="1">
      <alignment horizontal="left"/>
    </xf>
    <xf numFmtId="0" fontId="8" fillId="3" borderId="0" xfId="0" applyFont="1" applyFill="1"/>
    <xf numFmtId="0" fontId="12" fillId="3" borderId="34" xfId="0" applyFont="1" applyFill="1" applyBorder="1" applyAlignment="1">
      <alignment horizontal="center"/>
    </xf>
    <xf numFmtId="0" fontId="12" fillId="3" borderId="0" xfId="0" applyFont="1" applyFill="1" applyAlignment="1">
      <alignment horizontal="center"/>
    </xf>
    <xf numFmtId="0" fontId="8" fillId="3" borderId="23" xfId="0" applyFont="1" applyFill="1" applyBorder="1"/>
    <xf numFmtId="0" fontId="0" fillId="0" borderId="23" xfId="0" applyBorder="1"/>
    <xf numFmtId="0" fontId="8" fillId="3" borderId="23" xfId="0" applyFont="1" applyFill="1" applyBorder="1" applyAlignment="1">
      <alignment horizontal="left"/>
    </xf>
    <xf numFmtId="0" fontId="8" fillId="3" borderId="74" xfId="0" applyFont="1" applyFill="1" applyBorder="1" applyAlignment="1">
      <alignment horizontal="center"/>
    </xf>
    <xf numFmtId="0" fontId="0" fillId="0" borderId="25" xfId="0" applyBorder="1"/>
    <xf numFmtId="0" fontId="0" fillId="0" borderId="75" xfId="0" applyBorder="1"/>
    <xf numFmtId="0" fontId="0" fillId="0" borderId="34" xfId="0" applyBorder="1"/>
    <xf numFmtId="0" fontId="0" fillId="0" borderId="47" xfId="0" applyBorder="1"/>
    <xf numFmtId="0" fontId="0" fillId="0" borderId="42" xfId="0" applyBorder="1"/>
    <xf numFmtId="0" fontId="0" fillId="0" borderId="76" xfId="0" applyBorder="1"/>
    <xf numFmtId="49" fontId="13" fillId="3" borderId="0" xfId="0" applyNumberFormat="1" applyFont="1" applyFill="1" applyAlignment="1">
      <alignment horizontal="left" vertical="top"/>
    </xf>
    <xf numFmtId="49" fontId="15" fillId="3" borderId="0" xfId="0" applyNumberFormat="1" applyFont="1" applyFill="1" applyAlignment="1">
      <alignment horizontal="left"/>
    </xf>
    <xf numFmtId="0" fontId="0" fillId="0" borderId="26" xfId="0" applyBorder="1" applyAlignment="1" applyProtection="1">
      <alignment vertical="center"/>
      <protection locked="0"/>
    </xf>
    <xf numFmtId="0" fontId="0" fillId="0" borderId="71"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8" fillId="3" borderId="16" xfId="0" applyFont="1" applyFill="1" applyBorder="1" applyAlignment="1">
      <alignment vertical="center" wrapText="1"/>
    </xf>
    <xf numFmtId="0" fontId="0" fillId="0" borderId="58" xfId="0" applyBorder="1" applyAlignment="1">
      <alignment vertical="center" wrapText="1"/>
    </xf>
    <xf numFmtId="0" fontId="3"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8" xfId="0" applyBorder="1" applyAlignment="1" applyProtection="1">
      <alignment vertical="center"/>
      <protection locked="0"/>
    </xf>
    <xf numFmtId="0" fontId="8" fillId="3" borderId="39" xfId="0" applyFont="1" applyFill="1" applyBorder="1" applyAlignment="1">
      <alignment horizontal="center" vertical="center"/>
    </xf>
    <xf numFmtId="0" fontId="8" fillId="3" borderId="58" xfId="0" applyFont="1" applyFill="1" applyBorder="1" applyAlignment="1">
      <alignment horizontal="center" vertical="center"/>
    </xf>
    <xf numFmtId="49" fontId="5" fillId="2" borderId="39" xfId="0" applyNumberFormat="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3" borderId="20" xfId="0" applyFont="1" applyFill="1" applyBorder="1"/>
    <xf numFmtId="0" fontId="0" fillId="0" borderId="20" xfId="0" applyBorder="1"/>
    <xf numFmtId="0" fontId="5" fillId="3" borderId="26" xfId="0" applyFont="1" applyFill="1" applyBorder="1" applyAlignment="1">
      <alignment horizontal="center" vertical="center"/>
    </xf>
    <xf numFmtId="0" fontId="0" fillId="6" borderId="23" xfId="0" applyFill="1" applyBorder="1"/>
    <xf numFmtId="0" fontId="0" fillId="6" borderId="43" xfId="0" applyFill="1" applyBorder="1"/>
    <xf numFmtId="0" fontId="25" fillId="3" borderId="26" xfId="0" applyFont="1" applyFill="1" applyBorder="1" applyAlignment="1">
      <alignment vertical="center"/>
    </xf>
    <xf numFmtId="0" fontId="0" fillId="0" borderId="43" xfId="0" applyBorder="1" applyAlignment="1">
      <alignment vertical="center"/>
    </xf>
    <xf numFmtId="0" fontId="13" fillId="3" borderId="23" xfId="0" applyFont="1" applyFill="1" applyBorder="1" applyAlignment="1">
      <alignment vertical="center" wrapText="1"/>
    </xf>
    <xf numFmtId="0" fontId="13" fillId="3" borderId="71" xfId="0" applyFont="1" applyFill="1" applyBorder="1" applyAlignment="1">
      <alignment vertical="center" wrapText="1"/>
    </xf>
    <xf numFmtId="0" fontId="13" fillId="3" borderId="23" xfId="0" applyFont="1" applyFill="1" applyBorder="1" applyAlignment="1">
      <alignment vertical="center"/>
    </xf>
    <xf numFmtId="3" fontId="25" fillId="2" borderId="26" xfId="0" applyNumberFormat="1" applyFont="1" applyFill="1" applyBorder="1" applyAlignment="1" applyProtection="1">
      <alignment horizontal="center" vertical="center"/>
      <protection locked="0"/>
    </xf>
    <xf numFmtId="3" fontId="0" fillId="0" borderId="71" xfId="0" applyNumberFormat="1" applyBorder="1" applyAlignment="1" applyProtection="1">
      <alignment horizontal="center" vertical="center"/>
      <protection locked="0"/>
    </xf>
    <xf numFmtId="0" fontId="8" fillId="3" borderId="24" xfId="0" applyFont="1" applyFill="1" applyBorder="1" applyAlignment="1">
      <alignment vertical="center" wrapText="1"/>
    </xf>
    <xf numFmtId="0" fontId="0" fillId="0" borderId="24" xfId="0" applyBorder="1" applyAlignment="1">
      <alignment wrapText="1"/>
    </xf>
    <xf numFmtId="0" fontId="0" fillId="0" borderId="57" xfId="0" applyBorder="1" applyAlignment="1">
      <alignment wrapText="1"/>
    </xf>
    <xf numFmtId="0" fontId="8" fillId="3" borderId="23" xfId="0" applyFont="1" applyFill="1" applyBorder="1" applyAlignment="1">
      <alignment vertical="center" wrapText="1"/>
    </xf>
    <xf numFmtId="0" fontId="0" fillId="0" borderId="23" xfId="0" applyBorder="1" applyAlignment="1">
      <alignment vertical="center" wrapText="1"/>
    </xf>
    <xf numFmtId="0" fontId="0" fillId="0" borderId="71" xfId="0" applyBorder="1" applyAlignment="1">
      <alignment vertical="center" wrapText="1"/>
    </xf>
    <xf numFmtId="0" fontId="0" fillId="0" borderId="43" xfId="0" applyBorder="1"/>
    <xf numFmtId="0" fontId="0" fillId="0" borderId="23" xfId="0" applyBorder="1" applyAlignment="1">
      <alignment wrapText="1"/>
    </xf>
    <xf numFmtId="0" fontId="0" fillId="0" borderId="71" xfId="0" applyBorder="1" applyAlignment="1">
      <alignment wrapText="1"/>
    </xf>
    <xf numFmtId="0" fontId="57" fillId="3" borderId="0" xfId="0" applyFont="1" applyFill="1" applyAlignment="1">
      <alignment horizontal="left"/>
    </xf>
    <xf numFmtId="0" fontId="42" fillId="6" borderId="0" xfId="0" applyFont="1" applyFill="1" applyAlignment="1">
      <alignment horizontal="left"/>
    </xf>
    <xf numFmtId="0" fontId="42" fillId="0" borderId="0" xfId="0" applyFont="1" applyAlignment="1">
      <alignment horizontal="left"/>
    </xf>
    <xf numFmtId="3" fontId="5" fillId="2" borderId="26"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3" fontId="0" fillId="0" borderId="71" xfId="0" applyNumberFormat="1" applyBorder="1" applyAlignment="1">
      <alignment horizontal="center" vertical="center"/>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xf>
    <xf numFmtId="0" fontId="0" fillId="0" borderId="22" xfId="0" applyBorder="1" applyAlignment="1">
      <alignment vertical="center" wrapText="1"/>
    </xf>
    <xf numFmtId="0" fontId="0" fillId="0" borderId="70" xfId="0" applyBorder="1" applyAlignment="1">
      <alignment vertical="center" wrapText="1"/>
    </xf>
    <xf numFmtId="0" fontId="8" fillId="3" borderId="4" xfId="0" applyFont="1" applyFill="1" applyBorder="1" applyAlignment="1">
      <alignment horizontal="center"/>
    </xf>
    <xf numFmtId="0" fontId="8" fillId="3" borderId="22" xfId="0" applyFont="1" applyFill="1" applyBorder="1" applyAlignment="1">
      <alignment horizontal="center"/>
    </xf>
    <xf numFmtId="0" fontId="8" fillId="3" borderId="70" xfId="0" applyFont="1" applyFill="1" applyBorder="1" applyAlignment="1">
      <alignment horizontal="center"/>
    </xf>
    <xf numFmtId="0" fontId="8" fillId="3" borderId="27" xfId="0" applyFont="1" applyFill="1" applyBorder="1" applyAlignment="1">
      <alignment horizontal="center"/>
    </xf>
    <xf numFmtId="0" fontId="8" fillId="3" borderId="36" xfId="0" applyFont="1" applyFill="1" applyBorder="1" applyAlignment="1">
      <alignment horizontal="center"/>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5" fillId="3" borderId="7" xfId="0" applyFont="1" applyFill="1" applyBorder="1" applyAlignment="1">
      <alignment horizontal="center" vertical="center"/>
    </xf>
    <xf numFmtId="0" fontId="0" fillId="6" borderId="24" xfId="0" applyFill="1" applyBorder="1"/>
    <xf numFmtId="0" fontId="0" fillId="6" borderId="44" xfId="0" applyFill="1" applyBorder="1"/>
    <xf numFmtId="3" fontId="5" fillId="2" borderId="33"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0" fillId="0" borderId="70" xfId="0" applyNumberFormat="1" applyBorder="1" applyAlignment="1">
      <alignment horizontal="center" vertical="center"/>
    </xf>
    <xf numFmtId="0" fontId="13" fillId="3" borderId="33" xfId="0" applyFont="1" applyFill="1" applyBorder="1" applyAlignment="1">
      <alignment horizontal="center" vertical="center"/>
    </xf>
    <xf numFmtId="0" fontId="0" fillId="0" borderId="70" xfId="0" applyBorder="1" applyAlignment="1">
      <alignment horizontal="center" vertical="center"/>
    </xf>
    <xf numFmtId="0" fontId="0" fillId="0" borderId="6" xfId="0" applyBorder="1" applyAlignment="1">
      <alignment horizontal="center" vertical="center"/>
    </xf>
    <xf numFmtId="0" fontId="5" fillId="3" borderId="33" xfId="0" applyFont="1" applyFill="1" applyBorder="1" applyAlignment="1">
      <alignment horizontal="center" vertical="center"/>
    </xf>
    <xf numFmtId="0" fontId="0" fillId="6" borderId="22" xfId="0" applyFill="1" applyBorder="1"/>
    <xf numFmtId="0" fontId="0" fillId="6" borderId="6" xfId="0" applyFill="1" applyBorder="1"/>
    <xf numFmtId="0" fontId="25" fillId="3" borderId="43" xfId="0" applyFont="1" applyFill="1" applyBorder="1" applyAlignment="1">
      <alignment vertical="center"/>
    </xf>
    <xf numFmtId="0" fontId="25" fillId="3" borderId="33" xfId="0" applyFont="1" applyFill="1" applyBorder="1" applyAlignment="1">
      <alignment vertical="center"/>
    </xf>
    <xf numFmtId="0" fontId="0" fillId="0" borderId="22" xfId="0" applyBorder="1"/>
    <xf numFmtId="0" fontId="0" fillId="0" borderId="6" xfId="0" applyBorder="1"/>
    <xf numFmtId="3" fontId="5" fillId="2" borderId="7" xfId="0" applyNumberFormat="1" applyFont="1" applyFill="1" applyBorder="1" applyAlignment="1">
      <alignment horizontal="center" vertical="center"/>
    </xf>
    <xf numFmtId="3" fontId="5" fillId="2" borderId="24" xfId="0" applyNumberFormat="1" applyFont="1" applyFill="1" applyBorder="1" applyAlignment="1">
      <alignment horizontal="center" vertical="center"/>
    </xf>
    <xf numFmtId="3" fontId="0" fillId="0" borderId="57" xfId="0" applyNumberFormat="1" applyBorder="1" applyAlignment="1">
      <alignment horizontal="center" vertical="center"/>
    </xf>
    <xf numFmtId="3" fontId="5" fillId="2" borderId="104" xfId="0" applyNumberFormat="1" applyFont="1" applyFill="1" applyBorder="1" applyAlignment="1">
      <alignment horizontal="center" vertical="center"/>
    </xf>
    <xf numFmtId="3" fontId="5" fillId="2" borderId="105" xfId="0" applyNumberFormat="1" applyFont="1" applyFill="1" applyBorder="1" applyAlignment="1">
      <alignment horizontal="center" vertical="center"/>
    </xf>
    <xf numFmtId="3" fontId="0" fillId="0" borderId="106" xfId="0" applyNumberFormat="1" applyBorder="1" applyAlignment="1">
      <alignment horizontal="center" vertical="center"/>
    </xf>
    <xf numFmtId="0" fontId="20" fillId="3" borderId="0" xfId="0" applyFont="1" applyFill="1" applyAlignment="1">
      <alignment horizontal="center"/>
    </xf>
    <xf numFmtId="0" fontId="20" fillId="6" borderId="72" xfId="0" applyFont="1" applyFill="1" applyBorder="1" applyAlignment="1">
      <alignment horizontal="center"/>
    </xf>
    <xf numFmtId="0" fontId="13" fillId="3" borderId="4" xfId="0" applyFont="1" applyFill="1" applyBorder="1" applyAlignment="1">
      <alignment vertical="center"/>
    </xf>
    <xf numFmtId="0" fontId="0" fillId="0" borderId="22" xfId="0" applyBorder="1" applyAlignment="1">
      <alignment vertical="center"/>
    </xf>
    <xf numFmtId="0" fontId="0" fillId="0" borderId="70" xfId="0" applyBorder="1" applyAlignment="1">
      <alignment vertical="center"/>
    </xf>
    <xf numFmtId="0" fontId="13" fillId="3" borderId="71" xfId="0" applyFont="1" applyFill="1" applyBorder="1" applyAlignment="1">
      <alignment vertical="center"/>
    </xf>
    <xf numFmtId="3" fontId="25" fillId="2" borderId="7" xfId="0" applyNumberFormat="1" applyFont="1" applyFill="1" applyBorder="1" applyAlignment="1" applyProtection="1">
      <alignment horizontal="center" vertical="center"/>
      <protection locked="0"/>
    </xf>
    <xf numFmtId="0" fontId="8" fillId="3" borderId="23" xfId="0" applyFont="1" applyFill="1" applyBorder="1" applyAlignment="1">
      <alignment vertical="center"/>
    </xf>
    <xf numFmtId="0" fontId="0" fillId="0" borderId="71" xfId="0" applyBorder="1"/>
    <xf numFmtId="0" fontId="13" fillId="3" borderId="72" xfId="0" applyFont="1" applyFill="1" applyBorder="1" applyAlignment="1">
      <alignment horizontal="center" vertical="center"/>
    </xf>
    <xf numFmtId="0" fontId="0" fillId="0" borderId="72" xfId="0" applyBorder="1" applyAlignment="1">
      <alignment vertical="center"/>
    </xf>
    <xf numFmtId="0" fontId="13" fillId="3" borderId="22" xfId="0" applyFont="1" applyFill="1" applyBorder="1" applyAlignment="1">
      <alignment vertical="center" wrapText="1"/>
    </xf>
    <xf numFmtId="0" fontId="13" fillId="3" borderId="70" xfId="0" applyFont="1" applyFill="1" applyBorder="1" applyAlignment="1">
      <alignment vertical="center" wrapText="1"/>
    </xf>
    <xf numFmtId="3" fontId="25" fillId="2" borderId="33"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0" fontId="0" fillId="0" borderId="71" xfId="0" applyBorder="1" applyAlignment="1">
      <alignment horizontal="center" vertical="center"/>
    </xf>
    <xf numFmtId="0" fontId="0" fillId="0" borderId="71" xfId="0" applyBorder="1" applyAlignment="1">
      <alignment vertical="center"/>
    </xf>
    <xf numFmtId="0" fontId="13" fillId="3" borderId="137" xfId="0" applyFont="1" applyFill="1" applyBorder="1" applyAlignment="1">
      <alignment vertical="center" wrapText="1"/>
    </xf>
    <xf numFmtId="0" fontId="13" fillId="3" borderId="138" xfId="0" applyFont="1" applyFill="1" applyBorder="1" applyAlignment="1">
      <alignment vertical="center" wrapText="1"/>
    </xf>
    <xf numFmtId="0" fontId="13" fillId="3" borderId="24" xfId="0" applyFont="1" applyFill="1" applyBorder="1" applyAlignment="1">
      <alignment vertical="center"/>
    </xf>
    <xf numFmtId="0" fontId="13" fillId="3" borderId="57" xfId="0" applyFont="1" applyFill="1" applyBorder="1" applyAlignment="1">
      <alignment vertical="center"/>
    </xf>
    <xf numFmtId="3" fontId="25" fillId="2" borderId="7" xfId="0" applyNumberFormat="1" applyFont="1" applyFill="1" applyBorder="1" applyAlignment="1">
      <alignment horizontal="center" vertical="center"/>
    </xf>
    <xf numFmtId="0" fontId="0" fillId="0" borderId="57" xfId="0" applyBorder="1" applyAlignment="1">
      <alignment vertical="center"/>
    </xf>
    <xf numFmtId="0" fontId="13" fillId="3" borderId="24" xfId="0" applyFont="1" applyFill="1" applyBorder="1" applyAlignment="1">
      <alignment vertical="center" wrapText="1"/>
    </xf>
    <xf numFmtId="0" fontId="13" fillId="3" borderId="57" xfId="0" applyFont="1" applyFill="1" applyBorder="1" applyAlignment="1">
      <alignment vertical="center" wrapText="1"/>
    </xf>
    <xf numFmtId="0" fontId="0" fillId="0" borderId="57" xfId="0" applyBorder="1" applyAlignment="1">
      <alignment horizontal="center" vertical="center"/>
    </xf>
    <xf numFmtId="0" fontId="25" fillId="3" borderId="7" xfId="0" applyFont="1" applyFill="1" applyBorder="1" applyAlignment="1">
      <alignment vertical="center"/>
    </xf>
    <xf numFmtId="0" fontId="0" fillId="0" borderId="44" xfId="0" applyBorder="1"/>
    <xf numFmtId="0" fontId="6" fillId="3" borderId="72" xfId="0" applyFont="1" applyFill="1" applyBorder="1" applyAlignment="1">
      <alignment horizontal="center"/>
    </xf>
    <xf numFmtId="0" fontId="0" fillId="0" borderId="72" xfId="0" applyBorder="1" applyAlignment="1">
      <alignment horizontal="center"/>
    </xf>
    <xf numFmtId="3" fontId="25" fillId="2" borderId="33" xfId="0" applyNumberFormat="1" applyFont="1" applyFill="1" applyBorder="1" applyAlignment="1" applyProtection="1">
      <alignment horizontal="center" vertical="center"/>
      <protection locked="0"/>
    </xf>
    <xf numFmtId="0" fontId="20" fillId="3" borderId="72" xfId="0" applyFont="1" applyFill="1" applyBorder="1" applyAlignment="1">
      <alignment horizontal="center"/>
    </xf>
    <xf numFmtId="0" fontId="25" fillId="6" borderId="72" xfId="0" applyFont="1" applyFill="1" applyBorder="1" applyAlignment="1">
      <alignment horizontal="center"/>
    </xf>
    <xf numFmtId="0" fontId="25" fillId="0" borderId="72" xfId="0" applyFont="1" applyBorder="1" applyAlignment="1">
      <alignment horizontal="center"/>
    </xf>
    <xf numFmtId="0" fontId="13" fillId="22" borderId="24" xfId="0" applyFont="1" applyFill="1" applyBorder="1" applyAlignment="1">
      <alignment vertical="center" wrapText="1"/>
    </xf>
    <xf numFmtId="0" fontId="13" fillId="22" borderId="57" xfId="0" applyFont="1" applyFill="1" applyBorder="1" applyAlignment="1">
      <alignment vertical="center" wrapText="1"/>
    </xf>
    <xf numFmtId="4" fontId="25" fillId="2" borderId="33" xfId="0" applyNumberFormat="1" applyFont="1" applyFill="1" applyBorder="1" applyAlignment="1" applyProtection="1">
      <alignment horizontal="center" vertical="center"/>
      <protection locked="0"/>
    </xf>
    <xf numFmtId="4" fontId="0" fillId="0" borderId="70" xfId="0" applyNumberFormat="1" applyBorder="1" applyAlignment="1">
      <alignment horizontal="center" vertical="center"/>
    </xf>
    <xf numFmtId="4" fontId="25" fillId="2" borderId="136" xfId="0" applyNumberFormat="1" applyFont="1" applyFill="1" applyBorder="1" applyAlignment="1">
      <alignment horizontal="center" vertical="center"/>
    </xf>
    <xf numFmtId="4" fontId="25" fillId="2" borderId="138" xfId="0" applyNumberFormat="1" applyFont="1" applyFill="1" applyBorder="1" applyAlignment="1">
      <alignment horizontal="center" vertical="center"/>
    </xf>
    <xf numFmtId="0" fontId="8" fillId="3" borderId="23" xfId="0" applyFont="1" applyFill="1" applyBorder="1" applyAlignment="1">
      <alignment vertical="center" wrapText="1" shrinkToFit="1"/>
    </xf>
    <xf numFmtId="0" fontId="8" fillId="3" borderId="71" xfId="0" applyFont="1" applyFill="1" applyBorder="1" applyAlignment="1">
      <alignment vertical="center" wrapText="1" shrinkToFit="1"/>
    </xf>
    <xf numFmtId="0" fontId="8" fillId="3" borderId="24" xfId="0" applyFont="1" applyFill="1" applyBorder="1" applyAlignment="1">
      <alignment vertical="center" wrapText="1" shrinkToFit="1"/>
    </xf>
    <xf numFmtId="0" fontId="8" fillId="3" borderId="57" xfId="0" applyFont="1" applyFill="1" applyBorder="1" applyAlignment="1">
      <alignment vertical="center" wrapText="1" shrinkToFit="1"/>
    </xf>
    <xf numFmtId="3" fontId="5" fillId="2" borderId="71" xfId="0" applyNumberFormat="1" applyFont="1" applyFill="1" applyBorder="1" applyAlignment="1" applyProtection="1">
      <alignment horizontal="center" vertical="center"/>
      <protection locked="0"/>
    </xf>
    <xf numFmtId="3" fontId="5" fillId="2" borderId="71" xfId="0" applyNumberFormat="1" applyFont="1" applyFill="1" applyBorder="1" applyAlignment="1">
      <alignment horizontal="center" vertical="center"/>
    </xf>
    <xf numFmtId="3" fontId="5" fillId="2" borderId="57"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3" fontId="25" fillId="2" borderId="23" xfId="0" applyNumberFormat="1" applyFont="1" applyFill="1" applyBorder="1" applyAlignment="1">
      <alignment horizontal="center" vertical="center"/>
    </xf>
    <xf numFmtId="3" fontId="25" fillId="2" borderId="71" xfId="0" applyNumberFormat="1" applyFont="1" applyFill="1" applyBorder="1" applyAlignment="1">
      <alignment horizontal="center" vertical="center"/>
    </xf>
    <xf numFmtId="0" fontId="8" fillId="3" borderId="20" xfId="0" applyFont="1" applyFill="1" applyBorder="1" applyAlignment="1">
      <alignment horizontal="center" vertical="center"/>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70" xfId="0" applyNumberFormat="1" applyFont="1" applyFill="1" applyBorder="1" applyAlignment="1" applyProtection="1">
      <alignment horizontal="center" vertical="center"/>
      <protection locked="0"/>
    </xf>
    <xf numFmtId="49" fontId="5" fillId="2" borderId="103" xfId="0" applyNumberFormat="1" applyFont="1" applyFill="1"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8" fillId="3" borderId="2" xfId="0" applyFont="1" applyFill="1" applyBorder="1" applyAlignment="1">
      <alignment horizontal="center"/>
    </xf>
    <xf numFmtId="0" fontId="8" fillId="3" borderId="26" xfId="0" applyFont="1" applyFill="1" applyBorder="1" applyAlignment="1">
      <alignment horizontal="center"/>
    </xf>
    <xf numFmtId="0" fontId="0" fillId="0" borderId="1" xfId="0" applyBorder="1"/>
    <xf numFmtId="0" fontId="8" fillId="22" borderId="137" xfId="0" applyFont="1" applyFill="1" applyBorder="1" applyAlignment="1">
      <alignment vertical="center"/>
    </xf>
    <xf numFmtId="0" fontId="8" fillId="22" borderId="138" xfId="0" applyFont="1" applyFill="1" applyBorder="1" applyAlignment="1">
      <alignment vertical="center"/>
    </xf>
    <xf numFmtId="3" fontId="5" fillId="2" borderId="136" xfId="0" applyNumberFormat="1" applyFont="1" applyFill="1" applyBorder="1" applyAlignment="1" applyProtection="1">
      <alignment horizontal="center" vertical="center"/>
      <protection locked="0"/>
    </xf>
    <xf numFmtId="3" fontId="5" fillId="2" borderId="137" xfId="0" applyNumberFormat="1" applyFont="1" applyFill="1" applyBorder="1" applyAlignment="1" applyProtection="1">
      <alignment horizontal="center" vertical="center"/>
      <protection locked="0"/>
    </xf>
    <xf numFmtId="3" fontId="5" fillId="2" borderId="138" xfId="0" applyNumberFormat="1" applyFont="1" applyFill="1" applyBorder="1" applyAlignment="1" applyProtection="1">
      <alignment horizontal="center" vertical="center"/>
      <protection locked="0"/>
    </xf>
    <xf numFmtId="0" fontId="8" fillId="22" borderId="103" xfId="0" applyFont="1" applyFill="1" applyBorder="1" applyAlignment="1">
      <alignment horizontal="center"/>
    </xf>
    <xf numFmtId="0" fontId="8" fillId="22" borderId="136" xfId="0" applyFont="1" applyFill="1" applyBorder="1" applyAlignment="1">
      <alignment horizontal="center"/>
    </xf>
    <xf numFmtId="0" fontId="0" fillId="36" borderId="1" xfId="0" applyFill="1" applyBorder="1"/>
    <xf numFmtId="0" fontId="8" fillId="3" borderId="137" xfId="0" applyFont="1" applyFill="1" applyBorder="1" applyAlignment="1">
      <alignment vertical="center" wrapText="1"/>
    </xf>
    <xf numFmtId="0" fontId="8" fillId="3" borderId="138" xfId="0" applyFont="1" applyFill="1" applyBorder="1" applyAlignment="1">
      <alignment vertical="center" wrapText="1"/>
    </xf>
    <xf numFmtId="0" fontId="8" fillId="3" borderId="103" xfId="0" applyFont="1" applyFill="1" applyBorder="1" applyAlignment="1">
      <alignment horizontal="center"/>
    </xf>
    <xf numFmtId="0" fontId="8" fillId="3" borderId="136" xfId="0" applyFont="1" applyFill="1" applyBorder="1" applyAlignment="1">
      <alignment horizontal="center"/>
    </xf>
    <xf numFmtId="0" fontId="7" fillId="3" borderId="0" xfId="0" applyFont="1" applyFill="1" applyAlignment="1">
      <alignment horizontal="left"/>
    </xf>
    <xf numFmtId="0" fontId="11" fillId="0" borderId="0" xfId="0" applyFont="1" applyAlignment="1">
      <alignment horizontal="left"/>
    </xf>
    <xf numFmtId="0" fontId="8" fillId="3" borderId="103" xfId="0" applyFont="1" applyFill="1" applyBorder="1" applyAlignment="1">
      <alignment horizontal="center" vertical="center"/>
    </xf>
    <xf numFmtId="0" fontId="0" fillId="0" borderId="103" xfId="0" applyBorder="1" applyAlignment="1">
      <alignment horizontal="center" vertical="center"/>
    </xf>
    <xf numFmtId="0" fontId="8" fillId="3" borderId="63" xfId="0" applyFont="1" applyFill="1" applyBorder="1" applyAlignment="1">
      <alignment horizontal="center" vertical="center"/>
    </xf>
    <xf numFmtId="0" fontId="8" fillId="3" borderId="98" xfId="0" applyFont="1" applyFill="1" applyBorder="1" applyAlignment="1">
      <alignment horizontal="center" vertical="center"/>
    </xf>
    <xf numFmtId="0" fontId="0" fillId="0" borderId="30" xfId="0" applyBorder="1" applyAlignment="1">
      <alignment horizontal="center" vertical="center"/>
    </xf>
    <xf numFmtId="0" fontId="25" fillId="3" borderId="23" xfId="0" applyFont="1" applyFill="1" applyBorder="1" applyAlignment="1">
      <alignment vertical="center"/>
    </xf>
    <xf numFmtId="0" fontId="0" fillId="6" borderId="43" xfId="0" applyFill="1" applyBorder="1" applyAlignment="1">
      <alignment vertical="center"/>
    </xf>
    <xf numFmtId="0" fontId="24" fillId="6" borderId="104" xfId="0" applyFont="1" applyFill="1" applyBorder="1" applyAlignment="1">
      <alignment horizontal="center" vertical="center"/>
    </xf>
    <xf numFmtId="0" fontId="0" fillId="0" borderId="125" xfId="0" applyBorder="1" applyAlignment="1">
      <alignment horizontal="center" vertical="center"/>
    </xf>
    <xf numFmtId="0" fontId="8" fillId="3" borderId="65" xfId="0" applyFont="1" applyFill="1" applyBorder="1" applyAlignment="1">
      <alignment horizontal="center" vertical="center"/>
    </xf>
    <xf numFmtId="0" fontId="8" fillId="3" borderId="73" xfId="0" applyFont="1" applyFill="1" applyBorder="1" applyAlignment="1">
      <alignment horizontal="center" vertical="center"/>
    </xf>
    <xf numFmtId="0" fontId="0" fillId="0" borderId="121" xfId="0" applyBorder="1" applyAlignment="1">
      <alignment horizontal="center" vertical="center"/>
    </xf>
    <xf numFmtId="0" fontId="0" fillId="0" borderId="123" xfId="0" applyBorder="1" applyAlignment="1">
      <alignment horizontal="center" vertical="center"/>
    </xf>
    <xf numFmtId="0" fontId="11" fillId="6" borderId="33"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106" xfId="0" applyBorder="1" applyAlignment="1">
      <alignment horizontal="center" vertical="center"/>
    </xf>
    <xf numFmtId="0" fontId="8" fillId="3" borderId="71" xfId="0" applyFont="1" applyFill="1" applyBorder="1" applyAlignment="1">
      <alignment vertical="center"/>
    </xf>
    <xf numFmtId="0" fontId="8" fillId="3" borderId="71" xfId="0" applyFont="1" applyFill="1" applyBorder="1" applyAlignment="1">
      <alignment vertical="center" wrapText="1"/>
    </xf>
    <xf numFmtId="0" fontId="6" fillId="3" borderId="20" xfId="0" applyFont="1" applyFill="1" applyBorder="1" applyAlignment="1">
      <alignment horizontal="center"/>
    </xf>
    <xf numFmtId="0" fontId="0" fillId="0" borderId="20" xfId="0" applyBorder="1" applyAlignment="1">
      <alignment horizontal="center"/>
    </xf>
    <xf numFmtId="0" fontId="13" fillId="3" borderId="22" xfId="0" applyFont="1" applyFill="1" applyBorder="1" applyAlignment="1">
      <alignment horizontal="center" vertical="center"/>
    </xf>
    <xf numFmtId="3" fontId="25" fillId="2" borderId="162" xfId="0" applyNumberFormat="1" applyFont="1" applyFill="1" applyBorder="1" applyAlignment="1" applyProtection="1">
      <alignment horizontal="center" vertical="center"/>
      <protection locked="0"/>
    </xf>
    <xf numFmtId="3" fontId="25" fillId="2" borderId="163" xfId="0" applyNumberFormat="1" applyFont="1" applyFill="1" applyBorder="1" applyAlignment="1" applyProtection="1">
      <alignment horizontal="center" vertical="center"/>
      <protection locked="0"/>
    </xf>
    <xf numFmtId="3" fontId="25" fillId="2" borderId="23" xfId="0" applyNumberFormat="1" applyFont="1" applyFill="1" applyBorder="1" applyAlignment="1" applyProtection="1">
      <alignment horizontal="center" vertical="center"/>
      <protection locked="0"/>
    </xf>
    <xf numFmtId="3" fontId="25" fillId="2" borderId="71" xfId="0" applyNumberFormat="1" applyFont="1" applyFill="1" applyBorder="1" applyAlignment="1" applyProtection="1">
      <alignment horizontal="center" vertical="center"/>
      <protection locked="0"/>
    </xf>
    <xf numFmtId="0" fontId="8" fillId="3" borderId="33" xfId="0" applyFont="1" applyFill="1" applyBorder="1" applyAlignment="1">
      <alignment horizontal="center"/>
    </xf>
    <xf numFmtId="0" fontId="0" fillId="0" borderId="36" xfId="0" applyBorder="1"/>
    <xf numFmtId="0" fontId="5" fillId="2" borderId="103" xfId="0" applyFont="1" applyFill="1" applyBorder="1" applyAlignment="1" applyProtection="1">
      <alignment vertical="center"/>
      <protection locked="0"/>
    </xf>
    <xf numFmtId="0" fontId="0" fillId="0" borderId="103" xfId="0" applyBorder="1" applyAlignment="1" applyProtection="1">
      <alignment vertical="center"/>
      <protection locked="0"/>
    </xf>
    <xf numFmtId="0" fontId="8" fillId="3" borderId="70" xfId="0" applyFont="1" applyFill="1" applyBorder="1" applyAlignment="1">
      <alignment vertical="center" wrapText="1"/>
    </xf>
    <xf numFmtId="0" fontId="8" fillId="3" borderId="3" xfId="0" applyFont="1" applyFill="1" applyBorder="1" applyAlignment="1">
      <alignment horizontal="center"/>
    </xf>
    <xf numFmtId="0" fontId="8" fillId="3" borderId="7" xfId="0" applyFont="1" applyFill="1" applyBorder="1" applyAlignment="1">
      <alignment horizontal="center"/>
    </xf>
    <xf numFmtId="0" fontId="0" fillId="0" borderId="9" xfId="0" applyBorder="1"/>
    <xf numFmtId="49" fontId="5" fillId="3" borderId="3" xfId="0" applyNumberFormat="1" applyFont="1" applyFill="1" applyBorder="1" applyAlignment="1">
      <alignment horizontal="center" vertical="center"/>
    </xf>
    <xf numFmtId="0" fontId="0" fillId="0" borderId="6" xfId="0" applyBorder="1" applyAlignment="1">
      <alignment horizontal="center" vertical="center" wrapText="1"/>
    </xf>
    <xf numFmtId="3" fontId="25" fillId="2" borderId="24" xfId="0" applyNumberFormat="1" applyFont="1" applyFill="1" applyBorder="1" applyAlignment="1">
      <alignment horizontal="center" vertical="center"/>
    </xf>
    <xf numFmtId="3" fontId="25" fillId="2" borderId="57" xfId="0" applyNumberFormat="1" applyFont="1" applyFill="1" applyBorder="1" applyAlignment="1">
      <alignment horizontal="center" vertical="center"/>
    </xf>
    <xf numFmtId="0" fontId="5" fillId="3" borderId="3" xfId="0" applyFont="1" applyFill="1" applyBorder="1" applyAlignment="1">
      <alignment vertical="center"/>
    </xf>
    <xf numFmtId="0" fontId="0" fillId="6" borderId="3" xfId="0" applyFill="1" applyBorder="1" applyAlignment="1">
      <alignment vertical="center"/>
    </xf>
    <xf numFmtId="0" fontId="0" fillId="0" borderId="73" xfId="0" applyBorder="1" applyAlignment="1">
      <alignment horizontal="center" vertical="center"/>
    </xf>
    <xf numFmtId="0" fontId="8" fillId="22" borderId="3" xfId="0" applyFont="1" applyFill="1" applyBorder="1" applyAlignment="1">
      <alignment horizontal="center"/>
    </xf>
    <xf numFmtId="0" fontId="8" fillId="22" borderId="7" xfId="0" applyFont="1" applyFill="1" applyBorder="1" applyAlignment="1">
      <alignment horizontal="center"/>
    </xf>
    <xf numFmtId="0" fontId="0" fillId="36" borderId="9" xfId="0" applyFill="1" applyBorder="1"/>
    <xf numFmtId="0" fontId="8" fillId="3" borderId="57" xfId="0" applyFont="1" applyFill="1" applyBorder="1" applyAlignment="1">
      <alignment vertical="center"/>
    </xf>
    <xf numFmtId="0" fontId="25" fillId="3" borderId="24" xfId="0" applyFont="1" applyFill="1" applyBorder="1" applyAlignment="1">
      <alignment vertical="center"/>
    </xf>
    <xf numFmtId="0" fontId="0" fillId="6" borderId="44" xfId="0" applyFill="1" applyBorder="1" applyAlignment="1">
      <alignment vertical="center"/>
    </xf>
    <xf numFmtId="0" fontId="8" fillId="22" borderId="24" xfId="0" applyFont="1" applyFill="1" applyBorder="1" applyAlignment="1">
      <alignment vertical="center" wrapText="1"/>
    </xf>
    <xf numFmtId="0" fontId="8" fillId="22" borderId="57" xfId="0" applyFont="1" applyFill="1" applyBorder="1" applyAlignment="1">
      <alignment vertical="center"/>
    </xf>
    <xf numFmtId="3" fontId="5" fillId="2" borderId="57"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shrinkToFit="1"/>
    </xf>
    <xf numFmtId="0" fontId="8" fillId="3" borderId="70" xfId="0" applyFont="1" applyFill="1" applyBorder="1" applyAlignment="1">
      <alignment vertical="center" wrapText="1" shrinkToFit="1"/>
    </xf>
    <xf numFmtId="0" fontId="8" fillId="3" borderId="8"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71" xfId="0" applyFont="1" applyBorder="1" applyAlignment="1">
      <alignment vertical="center"/>
    </xf>
    <xf numFmtId="0" fontId="104" fillId="3" borderId="0" xfId="0" applyFont="1" applyFill="1" applyAlignment="1">
      <alignment vertical="top" wrapText="1"/>
    </xf>
    <xf numFmtId="0" fontId="100" fillId="0" borderId="0" xfId="0" applyFont="1" applyAlignment="1">
      <alignment vertical="top" wrapText="1"/>
    </xf>
    <xf numFmtId="0" fontId="0" fillId="6" borderId="72" xfId="0" applyFill="1" applyBorder="1" applyAlignment="1">
      <alignment vertical="center"/>
    </xf>
    <xf numFmtId="0" fontId="0" fillId="6" borderId="78" xfId="0" applyFill="1" applyBorder="1" applyAlignment="1">
      <alignment vertical="center"/>
    </xf>
    <xf numFmtId="0" fontId="11"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32" xfId="0" applyFill="1" applyBorder="1" applyAlignment="1">
      <alignment horizontal="center" vertical="center" wrapText="1"/>
    </xf>
    <xf numFmtId="0" fontId="13" fillId="2" borderId="35" xfId="0" applyFont="1" applyFill="1" applyBorder="1"/>
    <xf numFmtId="0" fontId="11" fillId="7" borderId="42" xfId="0" applyFont="1" applyFill="1" applyBorder="1"/>
    <xf numFmtId="0" fontId="64" fillId="3" borderId="0" xfId="0" applyFont="1" applyFill="1" applyAlignment="1">
      <alignment horizontal="left" vertical="center"/>
    </xf>
    <xf numFmtId="0" fontId="42" fillId="0" borderId="0" xfId="0" applyFont="1" applyAlignment="1">
      <alignment horizontal="left" vertical="center"/>
    </xf>
    <xf numFmtId="0" fontId="57" fillId="2" borderId="81" xfId="0" applyFont="1" applyFill="1" applyBorder="1" applyAlignment="1">
      <alignment horizontal="left" vertical="center"/>
    </xf>
    <xf numFmtId="0" fontId="81" fillId="7" borderId="72" xfId="0" applyFont="1" applyFill="1" applyBorder="1" applyAlignment="1">
      <alignment horizontal="left" vertical="center"/>
    </xf>
    <xf numFmtId="0" fontId="81" fillId="7" borderId="78" xfId="0" applyFont="1" applyFill="1" applyBorder="1" applyAlignment="1">
      <alignment horizontal="left" vertical="center"/>
    </xf>
    <xf numFmtId="14" fontId="25" fillId="2" borderId="15" xfId="0" applyNumberFormat="1" applyFont="1" applyFill="1" applyBorder="1" applyAlignment="1">
      <alignment horizontal="center" vertical="center"/>
    </xf>
    <xf numFmtId="0" fontId="0" fillId="2" borderId="25" xfId="0" applyFill="1" applyBorder="1" applyAlignment="1">
      <alignment horizontal="center" vertical="center"/>
    </xf>
    <xf numFmtId="14" fontId="25" fillId="2" borderId="8" xfId="0" applyNumberFormat="1" applyFont="1" applyFill="1" applyBorder="1" applyAlignment="1" applyProtection="1">
      <alignment horizontal="center" vertical="center"/>
      <protection locked="0"/>
    </xf>
    <xf numFmtId="0" fontId="26" fillId="2" borderId="71" xfId="0" applyFont="1" applyFill="1" applyBorder="1" applyAlignment="1" applyProtection="1">
      <alignment horizontal="center" vertical="center"/>
      <protection locked="0"/>
    </xf>
    <xf numFmtId="0" fontId="8" fillId="3" borderId="5" xfId="0" applyFont="1" applyFill="1" applyBorder="1" applyAlignment="1">
      <alignment vertical="center" wrapText="1" shrinkToFit="1"/>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7" xfId="0" applyFont="1" applyBorder="1" applyAlignment="1">
      <alignment vertical="center"/>
    </xf>
    <xf numFmtId="0" fontId="2" fillId="6" borderId="0" xfId="0" applyFont="1" applyFill="1"/>
    <xf numFmtId="0" fontId="15" fillId="6" borderId="25" xfId="0" applyFont="1" applyFill="1" applyBorder="1" applyAlignment="1">
      <alignment horizontal="center"/>
    </xf>
    <xf numFmtId="0" fontId="0" fillId="6" borderId="25" xfId="0" applyFill="1" applyBorder="1" applyAlignment="1">
      <alignment horizontal="center"/>
    </xf>
    <xf numFmtId="0" fontId="0" fillId="6" borderId="25" xfId="0" applyFill="1" applyBorder="1"/>
    <xf numFmtId="0" fontId="35" fillId="3" borderId="0" xfId="0" applyFont="1" applyFill="1" applyAlignment="1">
      <alignment vertical="top" wrapText="1"/>
    </xf>
    <xf numFmtId="0" fontId="0" fillId="0" borderId="0" xfId="0" applyAlignment="1">
      <alignment vertical="top" wrapText="1"/>
    </xf>
    <xf numFmtId="0" fontId="35" fillId="3" borderId="0" xfId="0" applyFont="1" applyFill="1"/>
    <xf numFmtId="0" fontId="0" fillId="7" borderId="85" xfId="0" applyFill="1" applyBorder="1" applyAlignment="1" applyProtection="1">
      <alignment horizontal="center"/>
      <protection locked="0"/>
    </xf>
    <xf numFmtId="49" fontId="0" fillId="7" borderId="83" xfId="0" applyNumberFormat="1" applyFill="1" applyBorder="1" applyAlignment="1" applyProtection="1">
      <alignment horizontal="center"/>
      <protection locked="0"/>
    </xf>
    <xf numFmtId="0" fontId="0" fillId="7" borderId="0" xfId="0" applyFill="1"/>
    <xf numFmtId="3" fontId="0" fillId="7" borderId="83" xfId="0" applyNumberFormat="1" applyFill="1" applyBorder="1" applyAlignment="1" applyProtection="1">
      <alignment horizontal="center"/>
      <protection locked="0"/>
    </xf>
    <xf numFmtId="0" fontId="0" fillId="7" borderId="83" xfId="0" applyFill="1" applyBorder="1" applyAlignment="1" applyProtection="1">
      <alignment horizontal="center"/>
      <protection locked="0"/>
    </xf>
    <xf numFmtId="0" fontId="0" fillId="0" borderId="83" xfId="0" applyBorder="1" applyProtection="1">
      <protection locked="0"/>
    </xf>
    <xf numFmtId="0" fontId="0" fillId="7" borderId="77" xfId="0" applyFill="1" applyBorder="1" applyProtection="1">
      <protection locked="0"/>
    </xf>
    <xf numFmtId="0" fontId="0" fillId="7" borderId="77" xfId="0" applyFill="1" applyBorder="1" applyAlignment="1" applyProtection="1">
      <alignment horizontal="center"/>
      <protection locked="0"/>
    </xf>
    <xf numFmtId="49" fontId="3" fillId="7" borderId="0" xfId="0" applyNumberFormat="1" applyFont="1" applyFill="1" applyAlignment="1">
      <alignment horizontal="left"/>
    </xf>
    <xf numFmtId="0" fontId="25" fillId="2" borderId="79" xfId="0" applyFont="1" applyFill="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11" fillId="0" borderId="40" xfId="0" applyFont="1" applyBorder="1" applyAlignment="1">
      <alignment horizontal="right" wrapText="1"/>
    </xf>
    <xf numFmtId="0" fontId="0" fillId="0" borderId="40" xfId="0" applyBorder="1" applyAlignment="1">
      <alignment horizontal="right" wrapText="1"/>
    </xf>
    <xf numFmtId="0" fontId="11" fillId="0" borderId="131" xfId="0" applyFont="1" applyBorder="1" applyAlignment="1" applyProtection="1">
      <alignment wrapText="1"/>
      <protection locked="0"/>
    </xf>
    <xf numFmtId="0" fontId="0" fillId="0" borderId="132" xfId="0" applyBorder="1" applyProtection="1">
      <protection locked="0"/>
    </xf>
    <xf numFmtId="0" fontId="0" fillId="0" borderId="133" xfId="0" applyBorder="1" applyProtection="1">
      <protection locked="0"/>
    </xf>
    <xf numFmtId="0" fontId="6" fillId="3" borderId="0" xfId="0" applyFont="1" applyFill="1"/>
    <xf numFmtId="0" fontId="12" fillId="0" borderId="0" xfId="0" applyFont="1"/>
    <xf numFmtId="0" fontId="64" fillId="3" borderId="0" xfId="0" applyFont="1" applyFill="1" applyAlignment="1">
      <alignment vertical="center" wrapText="1"/>
    </xf>
    <xf numFmtId="0" fontId="42" fillId="0" borderId="0" xfId="0" applyFont="1" applyAlignment="1">
      <alignment vertical="center" wrapText="1"/>
    </xf>
    <xf numFmtId="0" fontId="8" fillId="3" borderId="4" xfId="0" applyFont="1" applyFill="1" applyBorder="1" applyAlignment="1">
      <alignment vertical="center"/>
    </xf>
    <xf numFmtId="0" fontId="11" fillId="0" borderId="22" xfId="0" applyFont="1" applyBorder="1" applyAlignment="1">
      <alignment vertical="center"/>
    </xf>
    <xf numFmtId="0" fontId="11" fillId="0" borderId="70" xfId="0" applyFont="1" applyBorder="1" applyAlignment="1">
      <alignment vertical="center"/>
    </xf>
    <xf numFmtId="0" fontId="64" fillId="3" borderId="79" xfId="0" applyFont="1" applyFill="1" applyBorder="1" applyAlignment="1">
      <alignment horizontal="left" vertical="center"/>
    </xf>
    <xf numFmtId="0" fontId="42" fillId="0" borderId="40" xfId="0" applyFont="1" applyBorder="1" applyAlignment="1">
      <alignment horizontal="left" vertical="center"/>
    </xf>
    <xf numFmtId="0" fontId="42" fillId="0" borderId="80" xfId="0" applyFont="1" applyBorder="1" applyAlignment="1">
      <alignment horizontal="left" vertical="center"/>
    </xf>
    <xf numFmtId="0" fontId="64" fillId="3" borderId="19" xfId="0" applyFont="1" applyFill="1" applyBorder="1" applyAlignment="1">
      <alignment horizontal="left" vertical="center"/>
    </xf>
    <xf numFmtId="0" fontId="42" fillId="0" borderId="32" xfId="0" applyFont="1" applyBorder="1" applyAlignment="1">
      <alignment horizontal="left" vertical="center"/>
    </xf>
    <xf numFmtId="0" fontId="25" fillId="0" borderId="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57" fillId="3" borderId="19" xfId="0" applyFont="1" applyFill="1" applyBorder="1" applyAlignment="1">
      <alignment horizontal="left" vertical="center"/>
    </xf>
    <xf numFmtId="0" fontId="17" fillId="3" borderId="19" xfId="0" applyFont="1" applyFill="1" applyBorder="1" applyAlignment="1">
      <alignment vertical="center"/>
    </xf>
    <xf numFmtId="0" fontId="0" fillId="0" borderId="0" xfId="0" applyAlignment="1">
      <alignment vertical="center"/>
    </xf>
    <xf numFmtId="0" fontId="0" fillId="6" borderId="32" xfId="0" applyFill="1" applyBorder="1" applyAlignment="1">
      <alignment vertical="center"/>
    </xf>
    <xf numFmtId="0" fontId="17" fillId="3" borderId="81" xfId="0" applyFont="1" applyFill="1" applyBorder="1" applyAlignment="1">
      <alignment vertical="center"/>
    </xf>
    <xf numFmtId="0" fontId="11" fillId="7" borderId="0" xfId="0" applyFont="1" applyFill="1" applyAlignment="1" applyProtection="1">
      <alignment horizontal="center" vertical="center"/>
      <protection locked="0"/>
    </xf>
    <xf numFmtId="0" fontId="42" fillId="6" borderId="72"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18" fillId="2" borderId="19" xfId="0" applyFont="1" applyFill="1" applyBorder="1"/>
    <xf numFmtId="0" fontId="0" fillId="7" borderId="32" xfId="0" applyFill="1" applyBorder="1"/>
    <xf numFmtId="0" fontId="6" fillId="2" borderId="81" xfId="0" applyFont="1" applyFill="1" applyBorder="1" applyAlignment="1">
      <alignment horizontal="center"/>
    </xf>
    <xf numFmtId="0" fontId="0" fillId="7" borderId="72" xfId="0" applyFill="1" applyBorder="1" applyAlignment="1">
      <alignment horizontal="center"/>
    </xf>
    <xf numFmtId="0" fontId="0" fillId="7" borderId="78" xfId="0" applyFill="1" applyBorder="1" applyAlignment="1">
      <alignment horizontal="center"/>
    </xf>
    <xf numFmtId="0" fontId="100" fillId="3" borderId="0" xfId="0" applyFont="1" applyFill="1" applyAlignment="1">
      <alignment vertical="center" wrapText="1"/>
    </xf>
    <xf numFmtId="0" fontId="100" fillId="0" borderId="0" xfId="0" applyFont="1" applyAlignment="1">
      <alignment vertical="center" wrapText="1"/>
    </xf>
    <xf numFmtId="0" fontId="13" fillId="3" borderId="74" xfId="0" applyFont="1" applyFill="1" applyBorder="1" applyAlignment="1">
      <alignment horizontal="center"/>
    </xf>
    <xf numFmtId="0" fontId="0" fillId="0" borderId="119" xfId="0" applyBorder="1"/>
    <xf numFmtId="0" fontId="0" fillId="0" borderId="120" xfId="0" applyBorder="1"/>
    <xf numFmtId="0" fontId="0" fillId="6" borderId="40" xfId="0" applyFill="1" applyBorder="1" applyAlignment="1">
      <alignment horizontal="center"/>
    </xf>
    <xf numFmtId="0" fontId="0" fillId="7" borderId="83" xfId="0" applyFill="1" applyBorder="1" applyProtection="1">
      <protection locked="0"/>
    </xf>
    <xf numFmtId="0" fontId="0" fillId="6" borderId="40" xfId="0" applyFill="1" applyBorder="1"/>
    <xf numFmtId="0" fontId="17" fillId="3" borderId="0" xfId="0" applyFont="1" applyFill="1"/>
    <xf numFmtId="0" fontId="9" fillId="3" borderId="79" xfId="0" applyFont="1" applyFill="1" applyBorder="1"/>
    <xf numFmtId="0" fontId="0" fillId="0" borderId="80" xfId="0" applyBorder="1"/>
    <xf numFmtId="0" fontId="0" fillId="7" borderId="74"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82"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46" fillId="9" borderId="0" xfId="0" applyFont="1" applyFill="1" applyAlignment="1">
      <alignment horizontal="center"/>
    </xf>
    <xf numFmtId="0" fontId="29" fillId="9" borderId="72" xfId="0" applyFont="1" applyFill="1" applyBorder="1" applyAlignment="1">
      <alignment horizontal="center"/>
    </xf>
    <xf numFmtId="0" fontId="38" fillId="2" borderId="40" xfId="0" applyFont="1" applyFill="1" applyBorder="1" applyAlignment="1" applyProtection="1">
      <alignment horizontal="right"/>
      <protection locked="0"/>
    </xf>
    <xf numFmtId="0" fontId="0" fillId="7" borderId="40" xfId="0" applyFill="1" applyBorder="1" applyProtection="1">
      <protection locked="0"/>
    </xf>
    <xf numFmtId="0" fontId="30" fillId="9" borderId="40" xfId="0" applyFont="1" applyFill="1" applyBorder="1"/>
    <xf numFmtId="0" fontId="37" fillId="9" borderId="0" xfId="0" applyFont="1" applyFill="1" applyAlignment="1">
      <alignment horizontal="center"/>
    </xf>
    <xf numFmtId="0" fontId="23" fillId="2" borderId="0" xfId="0" applyFont="1" applyFill="1" applyAlignment="1" applyProtection="1">
      <alignment horizontal="center"/>
      <protection locked="0"/>
    </xf>
    <xf numFmtId="0" fontId="5" fillId="9" borderId="0" xfId="0" applyFont="1" applyFill="1"/>
    <xf numFmtId="0" fontId="5" fillId="9" borderId="72" xfId="0" applyFont="1" applyFill="1" applyBorder="1"/>
    <xf numFmtId="0" fontId="0" fillId="0" borderId="24" xfId="0" applyBorder="1" applyAlignment="1">
      <alignment vertical="center" wrapText="1" shrinkToFit="1"/>
    </xf>
    <xf numFmtId="0" fontId="0" fillId="0" borderId="57" xfId="0" applyBorder="1" applyAlignment="1">
      <alignment vertical="center" wrapText="1" shrinkToFit="1"/>
    </xf>
    <xf numFmtId="3" fontId="3" fillId="2" borderId="24" xfId="0" applyNumberFormat="1" applyFont="1" applyFill="1" applyBorder="1" applyAlignment="1">
      <alignment horizontal="center" vertical="center"/>
    </xf>
    <xf numFmtId="3" fontId="3" fillId="2" borderId="57"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5" fillId="3" borderId="26"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xf>
    <xf numFmtId="3" fontId="3" fillId="3" borderId="71" xfId="0" applyNumberFormat="1" applyFont="1" applyFill="1" applyBorder="1" applyAlignment="1">
      <alignment horizontal="center" vertical="center"/>
    </xf>
    <xf numFmtId="49" fontId="12" fillId="3" borderId="0" xfId="0" applyNumberFormat="1" applyFont="1" applyFill="1" applyAlignment="1">
      <alignment horizontal="center"/>
    </xf>
    <xf numFmtId="0" fontId="34" fillId="3" borderId="0" xfId="0" applyFont="1" applyFill="1" applyAlignment="1">
      <alignment horizontal="center"/>
    </xf>
    <xf numFmtId="49" fontId="48" fillId="3" borderId="0" xfId="0" applyNumberFormat="1" applyFont="1" applyFill="1" applyAlignment="1">
      <alignment horizontal="left"/>
    </xf>
    <xf numFmtId="0" fontId="5" fillId="2"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8" fillId="3" borderId="11" xfId="0" applyFont="1" applyFill="1" applyBorder="1" applyAlignment="1">
      <alignment horizontal="left" vertical="center" wrapText="1"/>
    </xf>
    <xf numFmtId="0" fontId="0" fillId="0" borderId="3" xfId="0" applyBorder="1" applyAlignment="1">
      <alignment vertical="center" wrapText="1"/>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3" fillId="7"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3" fontId="3"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3"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3" fontId="3" fillId="7" borderId="39"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11" fillId="6" borderId="40" xfId="0" applyFont="1" applyFill="1" applyBorder="1" applyAlignment="1">
      <alignment horizontal="center" vertical="center"/>
    </xf>
    <xf numFmtId="0" fontId="3"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0" fontId="5" fillId="2"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1" fillId="6" borderId="72" xfId="0" applyFont="1" applyFill="1" applyBorder="1" applyAlignment="1">
      <alignment horizontal="center" vertical="center" wrapText="1"/>
    </xf>
    <xf numFmtId="0" fontId="0" fillId="0" borderId="40" xfId="0" applyBorder="1" applyAlignment="1">
      <alignment vertical="center" wrapText="1"/>
    </xf>
    <xf numFmtId="0" fontId="7" fillId="3" borderId="0" xfId="0" applyFont="1" applyFill="1" applyAlignment="1">
      <alignment horizontal="left" vertical="center" wrapText="1"/>
    </xf>
    <xf numFmtId="0" fontId="13" fillId="3" borderId="40" xfId="0" applyFont="1" applyFill="1" applyBorder="1" applyAlignment="1">
      <alignment vertical="center" wrapText="1"/>
    </xf>
    <xf numFmtId="0" fontId="0" fillId="0" borderId="40" xfId="0" applyBorder="1" applyAlignment="1">
      <alignment vertical="center"/>
    </xf>
    <xf numFmtId="0" fontId="5" fillId="2"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8" xfId="0" applyBorder="1" applyAlignment="1" applyProtection="1">
      <alignment vertical="center" wrapText="1"/>
      <protection locked="0"/>
    </xf>
    <xf numFmtId="0" fontId="0" fillId="0" borderId="0" xfId="0" applyAlignment="1">
      <alignment horizontal="left" vertical="center"/>
    </xf>
    <xf numFmtId="3" fontId="25" fillId="2" borderId="16" xfId="0" applyNumberFormat="1" applyFont="1" applyFill="1" applyBorder="1" applyAlignment="1" applyProtection="1">
      <alignment horizontal="center" vertical="center" wrapText="1"/>
      <protection locked="0"/>
    </xf>
    <xf numFmtId="3" fontId="26" fillId="7" borderId="20" xfId="0" applyNumberFormat="1" applyFont="1" applyFill="1" applyBorder="1" applyAlignment="1" applyProtection="1">
      <alignment horizontal="center" vertical="center" wrapText="1"/>
      <protection locked="0"/>
    </xf>
    <xf numFmtId="3" fontId="26" fillId="7" borderId="18" xfId="0" applyNumberFormat="1" applyFont="1" applyFill="1" applyBorder="1" applyAlignment="1" applyProtection="1">
      <alignment horizontal="center" vertical="center"/>
      <protection locked="0"/>
    </xf>
    <xf numFmtId="3" fontId="25" fillId="2" borderId="20" xfId="0" applyNumberFormat="1" applyFont="1" applyFill="1" applyBorder="1" applyAlignment="1" applyProtection="1">
      <alignment horizontal="center" vertical="center" wrapText="1"/>
      <protection locked="0"/>
    </xf>
    <xf numFmtId="3" fontId="26" fillId="2" borderId="18" xfId="0" applyNumberFormat="1" applyFont="1" applyFill="1" applyBorder="1" applyAlignment="1" applyProtection="1">
      <alignment horizontal="center" vertical="center"/>
      <protection locked="0"/>
    </xf>
    <xf numFmtId="0" fontId="0" fillId="0" borderId="23" xfId="0" applyBorder="1" applyAlignment="1">
      <alignment vertical="center" wrapText="1" shrinkToFit="1"/>
    </xf>
    <xf numFmtId="0" fontId="0" fillId="0" borderId="71" xfId="0" applyBorder="1" applyAlignment="1">
      <alignment vertical="center" wrapText="1" shrinkToFit="1"/>
    </xf>
    <xf numFmtId="3" fontId="26" fillId="2" borderId="23" xfId="0" applyNumberFormat="1" applyFont="1" applyFill="1" applyBorder="1" applyAlignment="1" applyProtection="1">
      <alignment horizontal="center" vertical="center"/>
      <protection locked="0"/>
    </xf>
    <xf numFmtId="3" fontId="26" fillId="2" borderId="71" xfId="0" applyNumberFormat="1" applyFont="1" applyFill="1" applyBorder="1" applyAlignment="1" applyProtection="1">
      <alignment horizontal="center" vertical="center"/>
      <protection locked="0"/>
    </xf>
    <xf numFmtId="0" fontId="13" fillId="3" borderId="0" xfId="0" applyFont="1" applyFill="1" applyAlignment="1">
      <alignment vertical="center" wrapText="1"/>
    </xf>
    <xf numFmtId="0" fontId="0" fillId="6" borderId="0" xfId="0" applyFill="1" applyAlignment="1">
      <alignment vertical="center" wrapText="1"/>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26" fillId="7" borderId="20"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0" fontId="42" fillId="0" borderId="0" xfId="0" applyFont="1" applyAlignment="1">
      <alignment vertical="center"/>
    </xf>
    <xf numFmtId="0" fontId="12" fillId="0" borderId="0" xfId="0" applyFont="1" applyAlignment="1">
      <alignment horizontal="left" vertical="center"/>
    </xf>
    <xf numFmtId="3" fontId="26" fillId="2" borderId="23" xfId="0" applyNumberFormat="1" applyFont="1" applyFill="1" applyBorder="1" applyAlignment="1">
      <alignment horizontal="center" vertical="center"/>
    </xf>
    <xf numFmtId="3" fontId="26" fillId="2" borderId="71" xfId="0" applyNumberFormat="1" applyFont="1" applyFill="1" applyBorder="1" applyAlignment="1">
      <alignment horizontal="center" vertic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13" fillId="3" borderId="16" xfId="0" applyFont="1" applyFill="1" applyBorder="1" applyAlignment="1">
      <alignment vertical="center" wrapText="1"/>
    </xf>
    <xf numFmtId="0" fontId="0" fillId="0" borderId="58" xfId="0" applyBorder="1" applyAlignment="1">
      <alignment vertical="center"/>
    </xf>
    <xf numFmtId="0" fontId="14" fillId="3" borderId="0" xfId="0" applyFont="1" applyFill="1" applyAlignment="1">
      <alignment vertical="center" wrapText="1"/>
    </xf>
    <xf numFmtId="0" fontId="11" fillId="0" borderId="0" xfId="0" applyFont="1" applyAlignment="1">
      <alignment vertical="center" wrapText="1"/>
    </xf>
    <xf numFmtId="0" fontId="0" fillId="6" borderId="58" xfId="0" applyFill="1" applyBorder="1" applyAlignment="1">
      <alignment vertical="center" wrapText="1"/>
    </xf>
    <xf numFmtId="0" fontId="0" fillId="6" borderId="4" xfId="0" applyFill="1" applyBorder="1" applyAlignment="1">
      <alignment vertical="center"/>
    </xf>
    <xf numFmtId="0" fontId="0" fillId="6" borderId="22" xfId="0" applyFill="1" applyBorder="1" applyAlignment="1">
      <alignment vertical="center"/>
    </xf>
    <xf numFmtId="0" fontId="0" fillId="6" borderId="70" xfId="0" applyFill="1" applyBorder="1" applyAlignment="1">
      <alignment vertical="center"/>
    </xf>
    <xf numFmtId="0" fontId="8" fillId="3"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0" xfId="0" applyBorder="1" applyAlignment="1">
      <alignment vertical="center" wrapText="1" shrinkToFit="1"/>
    </xf>
    <xf numFmtId="0" fontId="14" fillId="3" borderId="0" xfId="0" applyFont="1" applyFill="1" applyAlignment="1">
      <alignment wrapText="1" shrinkToFit="1"/>
    </xf>
    <xf numFmtId="0" fontId="50" fillId="3" borderId="0" xfId="0" applyFont="1" applyFill="1"/>
    <xf numFmtId="0" fontId="51" fillId="0" borderId="0" xfId="0" applyFont="1"/>
    <xf numFmtId="0" fontId="51" fillId="0" borderId="32" xfId="0" applyFont="1" applyBorder="1"/>
    <xf numFmtId="0" fontId="20" fillId="3" borderId="0" xfId="0" applyFont="1" applyFill="1"/>
    <xf numFmtId="0" fontId="42" fillId="0" borderId="0" xfId="0" applyFont="1"/>
    <xf numFmtId="0" fontId="0" fillId="6" borderId="72" xfId="0" applyFill="1" applyBorder="1"/>
    <xf numFmtId="0" fontId="8" fillId="3" borderId="33" xfId="0" applyFont="1" applyFill="1" applyBorder="1" applyAlignment="1">
      <alignment horizontal="center" vertical="center"/>
    </xf>
    <xf numFmtId="0" fontId="8" fillId="3" borderId="22" xfId="0" applyFont="1" applyFill="1" applyBorder="1" applyAlignment="1">
      <alignment horizontal="center" vertical="center"/>
    </xf>
    <xf numFmtId="0" fontId="13" fillId="3" borderId="0" xfId="0" applyFont="1" applyFill="1" applyAlignment="1">
      <alignment horizontal="center"/>
    </xf>
    <xf numFmtId="0" fontId="11" fillId="0" borderId="0" xfId="0" applyFont="1" applyAlignment="1">
      <alignment horizontal="center"/>
    </xf>
    <xf numFmtId="0" fontId="13" fillId="6" borderId="23" xfId="0" applyFont="1" applyFill="1" applyBorder="1" applyAlignment="1">
      <alignment vertical="center"/>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26" fillId="7" borderId="39" xfId="0" applyFont="1" applyFill="1" applyBorder="1" applyAlignment="1" applyProtection="1">
      <alignment horizontal="center"/>
      <protection locked="0"/>
    </xf>
    <xf numFmtId="0" fontId="26" fillId="7" borderId="58" xfId="0" applyFont="1" applyFill="1" applyBorder="1" applyAlignment="1" applyProtection="1">
      <alignment horizontal="center"/>
      <protection locked="0"/>
    </xf>
    <xf numFmtId="14" fontId="25" fillId="2" borderId="59" xfId="0" applyNumberFormat="1" applyFont="1" applyFill="1" applyBorder="1" applyAlignment="1" applyProtection="1">
      <alignment horizontal="center" wrapText="1"/>
      <protection locked="0"/>
    </xf>
    <xf numFmtId="0" fontId="26" fillId="7" borderId="17" xfId="0" applyFont="1" applyFill="1" applyBorder="1" applyAlignment="1" applyProtection="1">
      <alignment horizontal="center"/>
      <protection locked="0"/>
    </xf>
    <xf numFmtId="0" fontId="44" fillId="3" borderId="0" xfId="0" applyFont="1" applyFill="1"/>
    <xf numFmtId="0" fontId="36" fillId="0" borderId="0" xfId="0" applyFont="1"/>
    <xf numFmtId="0" fontId="24" fillId="6" borderId="33" xfId="0" applyFont="1" applyFill="1" applyBorder="1" applyAlignment="1">
      <alignment vertical="center" wrapText="1" shrinkToFit="1"/>
    </xf>
    <xf numFmtId="0" fontId="24" fillId="6" borderId="22" xfId="0" applyFont="1" applyFill="1" applyBorder="1" applyAlignment="1">
      <alignment vertical="center" wrapText="1" shrinkToFit="1"/>
    </xf>
    <xf numFmtId="0" fontId="24" fillId="6" borderId="70" xfId="0" applyFont="1" applyFill="1" applyBorder="1" applyAlignment="1">
      <alignment vertical="center" wrapText="1" shrinkToFit="1"/>
    </xf>
    <xf numFmtId="0" fontId="24" fillId="6" borderId="33" xfId="0" applyFont="1" applyFill="1" applyBorder="1" applyAlignment="1">
      <alignment horizontal="center" vertical="center"/>
    </xf>
    <xf numFmtId="0" fontId="24" fillId="6" borderId="6" xfId="0" applyFont="1" applyFill="1" applyBorder="1" applyAlignment="1">
      <alignment horizontal="center" vertical="center"/>
    </xf>
    <xf numFmtId="0" fontId="12" fillId="0" borderId="0" xfId="0" applyFont="1" applyAlignment="1">
      <alignment horizontal="left"/>
    </xf>
    <xf numFmtId="0" fontId="13" fillId="3" borderId="40" xfId="0" applyFont="1" applyFill="1" applyBorder="1" applyAlignment="1">
      <alignment wrapText="1"/>
    </xf>
    <xf numFmtId="0" fontId="34" fillId="6" borderId="0" xfId="0" applyFont="1" applyFill="1" applyAlignment="1">
      <alignment vertical="top"/>
    </xf>
    <xf numFmtId="0" fontId="28" fillId="6" borderId="0" xfId="0" applyFont="1" applyFill="1" applyAlignment="1">
      <alignment vertical="top"/>
    </xf>
    <xf numFmtId="0" fontId="43" fillId="6" borderId="0" xfId="0" applyFont="1" applyFill="1"/>
    <xf numFmtId="0" fontId="0" fillId="6" borderId="0" xfId="0" applyFill="1"/>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xf numFmtId="0" fontId="13" fillId="6" borderId="24" xfId="0" applyFont="1" applyFill="1" applyBorder="1" applyAlignment="1">
      <alignment vertical="center"/>
    </xf>
    <xf numFmtId="0" fontId="0" fillId="6" borderId="4" xfId="0" applyFill="1" applyBorder="1"/>
    <xf numFmtId="0" fontId="0" fillId="0" borderId="70" xfId="0" applyBorder="1"/>
    <xf numFmtId="0" fontId="24"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0" fontId="24" fillId="6" borderId="2" xfId="0" applyFont="1" applyFill="1" applyBorder="1" applyAlignment="1">
      <alignment horizontal="center"/>
    </xf>
    <xf numFmtId="0" fontId="5" fillId="2" borderId="7" xfId="0" applyFont="1" applyFill="1" applyBorder="1" applyAlignment="1" applyProtection="1">
      <alignment horizontal="center"/>
      <protection locked="0"/>
    </xf>
    <xf numFmtId="0" fontId="0" fillId="7" borderId="57" xfId="0" applyFill="1" applyBorder="1" applyAlignment="1" applyProtection="1">
      <alignment horizontal="center"/>
      <protection locked="0"/>
    </xf>
    <xf numFmtId="49" fontId="28" fillId="7" borderId="3" xfId="0" applyNumberFormat="1" applyFont="1" applyFill="1" applyBorder="1" applyAlignment="1" applyProtection="1">
      <alignment horizontal="center"/>
      <protection locked="0"/>
    </xf>
    <xf numFmtId="0" fontId="13" fillId="3" borderId="4" xfId="0" applyFont="1" applyFill="1" applyBorder="1"/>
    <xf numFmtId="0" fontId="11" fillId="0" borderId="22" xfId="0" applyFont="1" applyBorder="1"/>
    <xf numFmtId="0" fontId="11" fillId="0" borderId="6" xfId="0" applyFont="1" applyBorder="1"/>
    <xf numFmtId="0" fontId="46" fillId="3" borderId="0" xfId="0" applyFont="1" applyFill="1" applyAlignment="1">
      <alignment horizontal="left"/>
    </xf>
    <xf numFmtId="0" fontId="36" fillId="0" borderId="0" xfId="0" applyFont="1" applyAlignment="1">
      <alignment horizontal="left"/>
    </xf>
    <xf numFmtId="0" fontId="8" fillId="3" borderId="81" xfId="0" applyFont="1" applyFill="1" applyBorder="1" applyAlignment="1">
      <alignment horizontal="left"/>
    </xf>
    <xf numFmtId="0" fontId="11" fillId="0" borderId="72" xfId="0" applyFont="1" applyBorder="1" applyAlignment="1">
      <alignment horizontal="left"/>
    </xf>
    <xf numFmtId="0" fontId="11" fillId="0" borderId="78" xfId="0" applyFont="1" applyBorder="1" applyAlignment="1">
      <alignment horizontal="left"/>
    </xf>
    <xf numFmtId="0" fontId="8" fillId="3" borderId="2" xfId="0" applyFont="1" applyFill="1" applyBorder="1" applyAlignment="1">
      <alignment horizontal="center" vertical="center"/>
    </xf>
    <xf numFmtId="0" fontId="11" fillId="0" borderId="2" xfId="0" applyFont="1" applyBorder="1" applyAlignment="1">
      <alignment horizontal="center" vertical="center"/>
    </xf>
    <xf numFmtId="0" fontId="47" fillId="6" borderId="72" xfId="0" applyFont="1" applyFill="1" applyBorder="1"/>
    <xf numFmtId="0" fontId="47" fillId="6" borderId="0" xfId="0" applyFont="1" applyFill="1"/>
    <xf numFmtId="0" fontId="13" fillId="3" borderId="63" xfId="0" applyFont="1" applyFill="1" applyBorder="1" applyAlignment="1">
      <alignment vertical="center" wrapText="1"/>
    </xf>
    <xf numFmtId="0" fontId="11" fillId="0" borderId="12" xfId="0" applyFont="1" applyBorder="1" applyAlignment="1">
      <alignment vertical="center" wrapText="1"/>
    </xf>
    <xf numFmtId="0" fontId="0" fillId="0" borderId="64" xfId="0" applyBorder="1"/>
    <xf numFmtId="0" fontId="0" fillId="0" borderId="31" xfId="0" applyBorder="1"/>
    <xf numFmtId="0" fontId="5" fillId="2" borderId="7" xfId="13" applyFont="1" applyFill="1" applyBorder="1" applyAlignment="1" applyProtection="1">
      <alignment horizontal="center"/>
      <protection locked="0"/>
    </xf>
    <xf numFmtId="0" fontId="44" fillId="3" borderId="0" xfId="0" applyFont="1" applyFill="1" applyAlignment="1">
      <alignment horizontal="left" vertical="center"/>
    </xf>
    <xf numFmtId="0" fontId="36" fillId="0" borderId="0" xfId="0" applyFont="1" applyAlignment="1">
      <alignment vertical="center"/>
    </xf>
    <xf numFmtId="0" fontId="11" fillId="0" borderId="103" xfId="0" applyFont="1" applyBorder="1" applyAlignment="1">
      <alignment horizontal="center" vertical="center"/>
    </xf>
    <xf numFmtId="0" fontId="5" fillId="2" borderId="104" xfId="13" applyFont="1" applyFill="1" applyBorder="1" applyAlignment="1" applyProtection="1">
      <alignment horizontal="center"/>
      <protection locked="0"/>
    </xf>
    <xf numFmtId="0" fontId="0" fillId="7" borderId="106" xfId="0" applyFill="1" applyBorder="1" applyAlignment="1" applyProtection="1">
      <alignment horizontal="center"/>
      <protection locked="0"/>
    </xf>
    <xf numFmtId="0" fontId="13" fillId="3" borderId="0" xfId="0" applyFont="1" applyFill="1" applyAlignment="1">
      <alignment horizontal="left"/>
    </xf>
    <xf numFmtId="0" fontId="0" fillId="0" borderId="0" xfId="0" applyAlignment="1">
      <alignment horizontal="left"/>
    </xf>
    <xf numFmtId="0" fontId="8" fillId="3" borderId="104" xfId="0" applyFont="1" applyFill="1" applyBorder="1"/>
    <xf numFmtId="0" fontId="0" fillId="0" borderId="125" xfId="0" applyBorder="1"/>
    <xf numFmtId="0" fontId="13" fillId="3" borderId="59" xfId="0" applyFont="1" applyFill="1" applyBorder="1" applyAlignment="1">
      <alignment vertical="center" wrapText="1"/>
    </xf>
    <xf numFmtId="0" fontId="0" fillId="0" borderId="17" xfId="0" applyBorder="1" applyAlignment="1">
      <alignment vertical="center" wrapText="1"/>
    </xf>
    <xf numFmtId="0" fontId="13" fillId="3" borderId="17" xfId="0" applyFont="1" applyFill="1" applyBorder="1" applyAlignment="1">
      <alignment vertical="center" wrapText="1"/>
    </xf>
    <xf numFmtId="3" fontId="3" fillId="0" borderId="39" xfId="0" applyNumberFormat="1" applyFont="1" applyBorder="1" applyAlignment="1" applyProtection="1">
      <alignment horizontal="center" vertical="center"/>
      <protection locked="0"/>
    </xf>
    <xf numFmtId="3" fontId="3" fillId="0" borderId="20" xfId="0" applyNumberFormat="1" applyFont="1" applyBorder="1" applyAlignment="1" applyProtection="1">
      <alignment horizontal="center" vertical="center"/>
      <protection locked="0"/>
    </xf>
    <xf numFmtId="3" fontId="3" fillId="0" borderId="58"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8" fillId="3" borderId="105" xfId="0" applyFont="1" applyFill="1" applyBorder="1" applyAlignment="1">
      <alignment vertical="center"/>
    </xf>
    <xf numFmtId="0" fontId="8" fillId="3" borderId="106" xfId="0" applyFont="1" applyFill="1" applyBorder="1" applyAlignment="1">
      <alignment vertical="center"/>
    </xf>
    <xf numFmtId="0" fontId="8" fillId="3" borderId="105" xfId="0" applyFont="1" applyFill="1" applyBorder="1" applyAlignment="1">
      <alignment vertical="center" wrapText="1"/>
    </xf>
    <xf numFmtId="0" fontId="8" fillId="3" borderId="106" xfId="0" applyFont="1" applyFill="1" applyBorder="1" applyAlignment="1">
      <alignment vertical="center" wrapText="1"/>
    </xf>
    <xf numFmtId="3" fontId="5" fillId="2" borderId="104" xfId="0" applyNumberFormat="1" applyFont="1" applyFill="1" applyBorder="1" applyAlignment="1" applyProtection="1">
      <alignment horizontal="center" vertical="center"/>
      <protection locked="0"/>
    </xf>
    <xf numFmtId="3" fontId="0" fillId="7" borderId="106" xfId="0" applyNumberFormat="1" applyFill="1" applyBorder="1" applyAlignment="1" applyProtection="1">
      <alignment horizontal="center" vertical="center"/>
      <protection locked="0"/>
    </xf>
    <xf numFmtId="0" fontId="20" fillId="3" borderId="0" xfId="0" applyFont="1" applyFill="1" applyAlignment="1">
      <alignment vertical="center" wrapText="1" shrinkToFit="1"/>
    </xf>
    <xf numFmtId="0" fontId="0" fillId="0" borderId="0" xfId="0" applyAlignment="1">
      <alignment vertical="center" wrapText="1" shrinkToFit="1"/>
    </xf>
    <xf numFmtId="0" fontId="49" fillId="6" borderId="72" xfId="0" applyFont="1" applyFill="1" applyBorder="1"/>
    <xf numFmtId="0" fontId="48" fillId="6" borderId="0" xfId="0" applyFont="1" applyFill="1" applyAlignment="1">
      <alignment vertical="top" wrapText="1"/>
    </xf>
    <xf numFmtId="0" fontId="0" fillId="6" borderId="0" xfId="0" applyFill="1" applyAlignment="1">
      <alignment vertical="top" wrapText="1"/>
    </xf>
    <xf numFmtId="0" fontId="0" fillId="6" borderId="70" xfId="0" applyFill="1" applyBorder="1" applyAlignment="1">
      <alignment horizontal="center"/>
    </xf>
    <xf numFmtId="0" fontId="0" fillId="6" borderId="6" xfId="0" applyFill="1" applyBorder="1" applyAlignment="1">
      <alignment horizontal="center"/>
    </xf>
    <xf numFmtId="0" fontId="34" fillId="6" borderId="0" xfId="0" applyFont="1" applyFill="1" applyAlignment="1">
      <alignment horizontal="center" wrapText="1"/>
    </xf>
    <xf numFmtId="0" fontId="34"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0" fillId="6" borderId="70" xfId="0" applyFill="1" applyBorder="1"/>
    <xf numFmtId="3" fontId="0" fillId="7" borderId="57" xfId="0" applyNumberFormat="1" applyFill="1" applyBorder="1" applyAlignment="1">
      <alignment horizontal="center" vertical="center"/>
    </xf>
    <xf numFmtId="0" fontId="8" fillId="3" borderId="7" xfId="0" applyFont="1" applyFill="1" applyBorder="1"/>
    <xf numFmtId="0" fontId="8" fillId="3" borderId="0" xfId="0" applyFont="1" applyFill="1" applyAlignment="1">
      <alignment horizontal="right" vertical="center"/>
    </xf>
    <xf numFmtId="0" fontId="5" fillId="3" borderId="26" xfId="0" applyFont="1" applyFill="1" applyBorder="1"/>
    <xf numFmtId="0" fontId="13" fillId="3" borderId="59" xfId="0" applyFont="1" applyFill="1" applyBorder="1" applyAlignment="1">
      <alignment horizontal="left" vertical="center"/>
    </xf>
    <xf numFmtId="0" fontId="0" fillId="0" borderId="17" xfId="0" applyBorder="1" applyAlignment="1">
      <alignment horizontal="left" vertical="center"/>
    </xf>
    <xf numFmtId="3" fontId="0" fillId="7" borderId="106" xfId="0" applyNumberFormat="1" applyFill="1" applyBorder="1" applyAlignment="1">
      <alignment horizontal="center" vertical="center"/>
    </xf>
    <xf numFmtId="0" fontId="8" fillId="3" borderId="57" xfId="0" applyFont="1" applyFill="1" applyBorder="1" applyAlignment="1">
      <alignment vertical="center" wrapText="1"/>
    </xf>
    <xf numFmtId="3" fontId="5" fillId="2" borderId="26" xfId="0" applyNumberFormat="1" applyFont="1" applyFill="1" applyBorder="1" applyAlignment="1" applyProtection="1">
      <alignment vertical="center"/>
      <protection locked="0"/>
    </xf>
    <xf numFmtId="3" fontId="0" fillId="0" borderId="71" xfId="0" applyNumberFormat="1" applyBorder="1" applyAlignment="1" applyProtection="1">
      <alignment vertical="center"/>
      <protection locked="0"/>
    </xf>
    <xf numFmtId="0" fontId="8" fillId="3" borderId="70" xfId="0" applyFont="1" applyFill="1" applyBorder="1" applyAlignment="1">
      <alignment horizontal="center" vertical="center"/>
    </xf>
    <xf numFmtId="0" fontId="8" fillId="3" borderId="71" xfId="0" applyFont="1" applyFill="1" applyBorder="1" applyAlignment="1">
      <alignment horizontal="center"/>
    </xf>
    <xf numFmtId="3" fontId="5" fillId="2" borderId="104" xfId="0" applyNumberFormat="1" applyFont="1" applyFill="1" applyBorder="1" applyAlignment="1">
      <alignment vertical="center"/>
    </xf>
    <xf numFmtId="3" fontId="0" fillId="0" borderId="106" xfId="0" applyNumberFormat="1" applyBorder="1" applyAlignment="1">
      <alignment vertical="center"/>
    </xf>
    <xf numFmtId="0" fontId="8" fillId="3" borderId="33" xfId="0" applyFont="1" applyFill="1" applyBorder="1" applyAlignment="1">
      <alignment horizontal="center" vertical="center" wrapText="1"/>
    </xf>
    <xf numFmtId="0" fontId="0" fillId="0" borderId="71" xfId="0" applyBorder="1" applyAlignment="1">
      <alignment horizontal="center"/>
    </xf>
    <xf numFmtId="3" fontId="5" fillId="2" borderId="7" xfId="0" applyNumberFormat="1" applyFont="1" applyFill="1" applyBorder="1" applyAlignment="1">
      <alignment horizontal="right" vertical="center"/>
    </xf>
    <xf numFmtId="3" fontId="0" fillId="0" borderId="57" xfId="0" applyNumberFormat="1" applyBorder="1" applyAlignment="1">
      <alignment horizontal="right" vertical="center"/>
    </xf>
    <xf numFmtId="0" fontId="5" fillId="3" borderId="7" xfId="0" applyFont="1" applyFill="1" applyBorder="1"/>
    <xf numFmtId="0" fontId="8" fillId="3" borderId="40" xfId="0" applyFont="1" applyFill="1" applyBorder="1"/>
    <xf numFmtId="0" fontId="8" fillId="3" borderId="24" xfId="0" applyFont="1" applyFill="1" applyBorder="1" applyAlignment="1">
      <alignment vertical="center"/>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5" xfId="0" applyFont="1" applyFill="1" applyBorder="1" applyAlignment="1">
      <alignment vertical="center"/>
    </xf>
    <xf numFmtId="0" fontId="0" fillId="0" borderId="24" xfId="0" applyBorder="1" applyAlignment="1">
      <alignment vertical="center"/>
    </xf>
    <xf numFmtId="0" fontId="5" fillId="2" borderId="26" xfId="0" applyFont="1" applyFill="1" applyBorder="1" applyAlignment="1" applyProtection="1">
      <alignment vertical="center"/>
      <protection locked="0"/>
    </xf>
    <xf numFmtId="0" fontId="8" fillId="3" borderId="72" xfId="0" applyFont="1" applyFill="1" applyBorder="1"/>
    <xf numFmtId="0" fontId="0" fillId="0" borderId="20" xfId="0" applyBorder="1" applyAlignment="1">
      <alignment vertical="center" wrapText="1"/>
    </xf>
    <xf numFmtId="0" fontId="3"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xf numFmtId="0" fontId="0" fillId="3" borderId="0" xfId="0" applyFill="1"/>
    <xf numFmtId="0" fontId="20" fillId="3" borderId="0" xfId="0" applyFont="1" applyFill="1" applyAlignment="1">
      <alignment horizontal="left" vertical="center"/>
    </xf>
    <xf numFmtId="0" fontId="13" fillId="6" borderId="137" xfId="0" applyFont="1" applyFill="1" applyBorder="1" applyAlignment="1">
      <alignment horizontal="left" vertical="center" wrapText="1"/>
    </xf>
    <xf numFmtId="0" fontId="13" fillId="6" borderId="138" xfId="0" applyFont="1" applyFill="1" applyBorder="1" applyAlignment="1">
      <alignment horizontal="left" vertical="center" wrapText="1"/>
    </xf>
    <xf numFmtId="0" fontId="0" fillId="22" borderId="35" xfId="0" applyFill="1" applyBorder="1" applyAlignment="1">
      <alignment vertical="center"/>
    </xf>
    <xf numFmtId="0" fontId="0" fillId="22" borderId="42" xfId="0" applyFill="1" applyBorder="1" applyAlignment="1">
      <alignment vertical="center"/>
    </xf>
    <xf numFmtId="0" fontId="0" fillId="22" borderId="76" xfId="0" applyFill="1" applyBorder="1" applyAlignment="1">
      <alignment vertical="center"/>
    </xf>
    <xf numFmtId="0" fontId="13" fillId="3" borderId="0" xfId="0" applyFont="1" applyFill="1" applyAlignment="1">
      <alignment horizontal="left" vertical="center" wrapText="1"/>
    </xf>
    <xf numFmtId="0" fontId="0" fillId="6" borderId="34" xfId="0" applyFill="1" applyBorder="1" applyAlignment="1">
      <alignment vertical="center"/>
    </xf>
    <xf numFmtId="0" fontId="13" fillId="3" borderId="40" xfId="0" applyFont="1" applyFill="1" applyBorder="1" applyAlignment="1">
      <alignment horizontal="left" vertical="center" wrapText="1"/>
    </xf>
    <xf numFmtId="0" fontId="0" fillId="6" borderId="40" xfId="0" applyFill="1" applyBorder="1" applyAlignment="1">
      <alignment vertical="center"/>
    </xf>
    <xf numFmtId="0" fontId="20" fillId="3" borderId="81" xfId="0" applyFont="1" applyFill="1" applyBorder="1" applyAlignment="1">
      <alignment horizontal="left" vertical="center"/>
    </xf>
    <xf numFmtId="0" fontId="0" fillId="0" borderId="35" xfId="0" applyBorder="1"/>
    <xf numFmtId="0" fontId="0" fillId="0" borderId="122" xfId="0" applyBorder="1"/>
    <xf numFmtId="0" fontId="0" fillId="0" borderId="6" xfId="0" applyBorder="1" applyAlignment="1">
      <alignment vertical="center"/>
    </xf>
    <xf numFmtId="0" fontId="13" fillId="6" borderId="20"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27" fillId="6" borderId="0" xfId="0" applyFont="1" applyFill="1" applyAlignment="1">
      <alignment vertical="center" wrapText="1" shrinkToFit="1"/>
    </xf>
    <xf numFmtId="0" fontId="13" fillId="6" borderId="23" xfId="0" applyFont="1" applyFill="1" applyBorder="1" applyAlignment="1">
      <alignment horizontal="left" vertical="center" wrapText="1"/>
    </xf>
    <xf numFmtId="0" fontId="13" fillId="6" borderId="71" xfId="0" applyFont="1" applyFill="1" applyBorder="1" applyAlignment="1">
      <alignment horizontal="left" vertical="center" wrapText="1"/>
    </xf>
    <xf numFmtId="49" fontId="27" fillId="3" borderId="0" xfId="0" applyNumberFormat="1" applyFont="1" applyFill="1" applyAlignment="1">
      <alignment horizontal="center"/>
    </xf>
    <xf numFmtId="49" fontId="28" fillId="3" borderId="0" xfId="0" applyNumberFormat="1" applyFont="1" applyFill="1" applyAlignment="1">
      <alignment horizontal="center"/>
    </xf>
    <xf numFmtId="0" fontId="13" fillId="6" borderId="25" xfId="0" applyFont="1" applyFill="1" applyBorder="1" applyAlignment="1">
      <alignment horizontal="left" vertical="center" wrapText="1"/>
    </xf>
    <xf numFmtId="0" fontId="13" fillId="6" borderId="75" xfId="0" applyFont="1" applyFill="1" applyBorder="1" applyAlignment="1">
      <alignment horizontal="left" vertical="center" wrapText="1"/>
    </xf>
    <xf numFmtId="49" fontId="31" fillId="3" borderId="0" xfId="0" applyNumberFormat="1" applyFont="1" applyFill="1" applyAlignment="1">
      <alignment horizontal="left"/>
    </xf>
    <xf numFmtId="2" fontId="71" fillId="3" borderId="0" xfId="0" applyNumberFormat="1" applyFont="1" applyFill="1" applyAlignment="1">
      <alignment horizontal="center"/>
    </xf>
    <xf numFmtId="0" fontId="7" fillId="6" borderId="20" xfId="0" applyFont="1" applyFill="1" applyBorder="1" applyAlignment="1">
      <alignment horizontal="left" vertical="center" wrapText="1"/>
    </xf>
    <xf numFmtId="0" fontId="13" fillId="6" borderId="162" xfId="0" applyFont="1" applyFill="1" applyBorder="1" applyAlignment="1">
      <alignment horizontal="left" vertical="center" wrapText="1"/>
    </xf>
    <xf numFmtId="0" fontId="13" fillId="6" borderId="163" xfId="0" applyFont="1" applyFill="1" applyBorder="1" applyAlignment="1">
      <alignment horizontal="left" vertical="center" wrapText="1"/>
    </xf>
    <xf numFmtId="0" fontId="8" fillId="6" borderId="137" xfId="0" applyFont="1" applyFill="1" applyBorder="1" applyAlignment="1">
      <alignment horizontal="left" vertical="center" wrapText="1"/>
    </xf>
    <xf numFmtId="0" fontId="8" fillId="3" borderId="0" xfId="0" applyFont="1" applyFill="1" applyAlignment="1">
      <alignment wrapText="1" shrinkToFit="1"/>
    </xf>
    <xf numFmtId="0" fontId="3" fillId="0" borderId="0" xfId="0" applyFont="1" applyAlignment="1">
      <alignment vertical="center" wrapText="1"/>
    </xf>
    <xf numFmtId="0" fontId="22" fillId="3" borderId="0" xfId="0" applyFont="1" applyFill="1" applyAlignment="1">
      <alignment horizontal="center" vertical="center" wrapText="1"/>
    </xf>
    <xf numFmtId="0" fontId="76" fillId="0" borderId="0" xfId="0" applyFont="1" applyAlignment="1">
      <alignment horizontal="center" vertical="center" wrapText="1"/>
    </xf>
    <xf numFmtId="0" fontId="86" fillId="6" borderId="0" xfId="0" applyFont="1" applyFill="1" applyAlignment="1">
      <alignment horizontal="center" vertical="center" wrapText="1" shrinkToFit="1"/>
    </xf>
    <xf numFmtId="0" fontId="87" fillId="0" borderId="0" xfId="0" applyFont="1" applyAlignment="1">
      <alignment horizontal="center" vertical="center" wrapText="1" shrinkToFit="1"/>
    </xf>
    <xf numFmtId="0" fontId="37" fillId="3" borderId="0" xfId="0" applyFont="1" applyFill="1" applyAlignment="1">
      <alignment horizontal="center" vertical="center"/>
    </xf>
    <xf numFmtId="0" fontId="87" fillId="0" borderId="0" xfId="0" applyFont="1" applyAlignment="1">
      <alignment horizontal="center" vertical="center"/>
    </xf>
    <xf numFmtId="0" fontId="37" fillId="3" borderId="0" xfId="0" applyFont="1" applyFill="1" applyAlignment="1">
      <alignment horizontal="center" vertical="center" wrapText="1"/>
    </xf>
    <xf numFmtId="0" fontId="87" fillId="6" borderId="0" xfId="0" applyFont="1" applyFill="1" applyAlignment="1">
      <alignment horizontal="center" vertical="center"/>
    </xf>
    <xf numFmtId="49" fontId="72" fillId="3" borderId="0" xfId="0" applyNumberFormat="1" applyFont="1" applyFill="1" applyAlignment="1">
      <alignment horizontal="left"/>
    </xf>
    <xf numFmtId="0" fontId="23" fillId="3" borderId="0" xfId="0" applyFont="1" applyFill="1" applyAlignment="1">
      <alignment horizontal="center" vertical="center" wrapText="1"/>
    </xf>
    <xf numFmtId="0" fontId="4" fillId="6" borderId="0" xfId="0" applyFont="1" applyFill="1" applyAlignment="1">
      <alignment horizontal="center" vertical="center"/>
    </xf>
    <xf numFmtId="0" fontId="14" fillId="3" borderId="72" xfId="0" applyFont="1" applyFill="1" applyBorder="1" applyAlignment="1">
      <alignment horizontal="left" vertical="center" wrapText="1"/>
    </xf>
    <xf numFmtId="0" fontId="77" fillId="6" borderId="72" xfId="0" applyFont="1" applyFill="1" applyBorder="1" applyAlignment="1">
      <alignment horizontal="left" vertical="center"/>
    </xf>
    <xf numFmtId="0" fontId="13" fillId="3" borderId="0" xfId="0" applyFont="1" applyFill="1" applyAlignment="1">
      <alignment horizontal="center" vertical="center"/>
    </xf>
    <xf numFmtId="0" fontId="8" fillId="6" borderId="20"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25" fillId="3" borderId="81" xfId="0" applyFont="1" applyFill="1" applyBorder="1"/>
    <xf numFmtId="0" fontId="0" fillId="0" borderId="73" xfId="0" applyBorder="1"/>
    <xf numFmtId="0" fontId="13" fillId="3" borderId="33" xfId="0" applyFont="1" applyFill="1" applyBorder="1" applyAlignment="1">
      <alignment horizontal="center"/>
    </xf>
    <xf numFmtId="0" fontId="0" fillId="0" borderId="6" xfId="0" applyBorder="1" applyAlignment="1">
      <alignment horizontal="center"/>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103" xfId="0" applyFont="1" applyFill="1" applyBorder="1" applyAlignment="1">
      <alignment horizontal="center" vertical="center" wrapText="1"/>
    </xf>
    <xf numFmtId="0" fontId="0" fillId="7" borderId="103" xfId="0" applyFill="1" applyBorder="1" applyAlignment="1">
      <alignment horizontal="center" vertical="center" wrapText="1"/>
    </xf>
    <xf numFmtId="0" fontId="74" fillId="7" borderId="0" xfId="0" applyFont="1" applyFill="1" applyAlignment="1">
      <alignment horizontal="center"/>
    </xf>
    <xf numFmtId="0" fontId="75" fillId="7" borderId="0" xfId="0" applyFont="1" applyFill="1" applyAlignment="1">
      <alignment horizontal="center"/>
    </xf>
    <xf numFmtId="0" fontId="8" fillId="2" borderId="10" xfId="0" applyFont="1" applyFill="1" applyBorder="1" applyAlignment="1">
      <alignment horizontal="center" vertical="center" textRotation="90"/>
    </xf>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vertical="center"/>
    </xf>
    <xf numFmtId="0" fontId="73" fillId="7" borderId="0" xfId="0" applyFont="1" applyFill="1" applyAlignment="1">
      <alignment horizontal="center"/>
    </xf>
    <xf numFmtId="0" fontId="74" fillId="7" borderId="0" xfId="0" applyFont="1" applyFill="1"/>
    <xf numFmtId="0" fontId="74" fillId="7" borderId="32" xfId="0" applyFont="1" applyFill="1" applyBorder="1"/>
    <xf numFmtId="0" fontId="11" fillId="7" borderId="0" xfId="0" applyFont="1" applyFill="1" applyAlignment="1">
      <alignment vertical="top"/>
    </xf>
    <xf numFmtId="0" fontId="31" fillId="7" borderId="0" xfId="0" applyFont="1" applyFill="1" applyAlignment="1">
      <alignment horizontal="left"/>
    </xf>
    <xf numFmtId="49" fontId="16" fillId="7" borderId="0" xfId="0" applyNumberFormat="1" applyFont="1" applyFill="1" applyAlignment="1">
      <alignment horizontal="center"/>
    </xf>
    <xf numFmtId="0" fontId="71" fillId="7" borderId="0" xfId="0" applyFont="1" applyFill="1" applyAlignment="1">
      <alignment horizontal="center"/>
    </xf>
    <xf numFmtId="0" fontId="70" fillId="0" borderId="0" xfId="0" applyFont="1"/>
    <xf numFmtId="0" fontId="70" fillId="7" borderId="0" xfId="0" applyFont="1" applyFill="1"/>
    <xf numFmtId="0" fontId="31" fillId="7" borderId="0" xfId="0" applyFont="1" applyFill="1"/>
    <xf numFmtId="0" fontId="75" fillId="7" borderId="0" xfId="0" applyFont="1" applyFill="1" applyAlignment="1">
      <alignment horizontal="right" vertical="center"/>
    </xf>
    <xf numFmtId="0" fontId="75" fillId="7" borderId="37" xfId="0" applyFont="1" applyFill="1" applyBorder="1" applyAlignment="1">
      <alignment horizontal="right" vertical="center"/>
    </xf>
    <xf numFmtId="0" fontId="0" fillId="7" borderId="72" xfId="0" applyFill="1" applyBorder="1"/>
    <xf numFmtId="0" fontId="58" fillId="7" borderId="0" xfId="0" applyFont="1" applyFill="1" applyAlignment="1">
      <alignment vertical="center"/>
    </xf>
    <xf numFmtId="0" fontId="58" fillId="7" borderId="0" xfId="0" applyFont="1" applyFill="1" applyAlignment="1">
      <alignment vertical="center" wrapText="1"/>
    </xf>
    <xf numFmtId="0" fontId="0" fillId="7" borderId="26" xfId="0" applyFill="1" applyBorder="1" applyAlignment="1">
      <alignment horizontal="center" vertical="center"/>
    </xf>
    <xf numFmtId="0" fontId="0" fillId="7" borderId="71" xfId="0" applyFill="1" applyBorder="1"/>
    <xf numFmtId="0" fontId="0" fillId="7" borderId="37" xfId="0" applyFill="1" applyBorder="1"/>
    <xf numFmtId="0" fontId="73" fillId="7" borderId="0" xfId="0" applyFont="1" applyFill="1" applyAlignment="1">
      <alignment horizontal="center" vertical="center"/>
    </xf>
    <xf numFmtId="0" fontId="6" fillId="3" borderId="0" xfId="10" applyFont="1" applyFill="1" applyAlignment="1">
      <alignment horizontal="center" vertical="center"/>
    </xf>
    <xf numFmtId="0" fontId="3" fillId="0" borderId="0" xfId="10" applyAlignment="1">
      <alignment horizontal="center" vertical="center"/>
    </xf>
    <xf numFmtId="0" fontId="8" fillId="3" borderId="63" xfId="10" applyFont="1" applyFill="1" applyBorder="1" applyAlignment="1">
      <alignment horizontal="center" vertical="center"/>
    </xf>
    <xf numFmtId="0" fontId="8" fillId="3" borderId="98" xfId="10" applyFont="1" applyFill="1" applyBorder="1" applyAlignment="1">
      <alignment horizontal="center" vertical="center"/>
    </xf>
    <xf numFmtId="0" fontId="3" fillId="0" borderId="30" xfId="10" applyBorder="1" applyAlignment="1">
      <alignment horizontal="center" vertical="center"/>
    </xf>
    <xf numFmtId="0" fontId="8" fillId="3" borderId="65" xfId="10" applyFont="1" applyFill="1" applyBorder="1" applyAlignment="1">
      <alignment horizontal="center" vertical="center"/>
    </xf>
    <xf numFmtId="0" fontId="3" fillId="0" borderId="73" xfId="10" applyBorder="1" applyAlignment="1">
      <alignment horizontal="center" vertical="center"/>
    </xf>
    <xf numFmtId="0" fontId="3" fillId="0" borderId="121" xfId="10" applyBorder="1" applyAlignment="1">
      <alignment horizontal="center" vertical="center"/>
    </xf>
    <xf numFmtId="0" fontId="3" fillId="0" borderId="123" xfId="10" applyBorder="1" applyAlignment="1">
      <alignment horizontal="center" vertical="center"/>
    </xf>
    <xf numFmtId="0" fontId="8" fillId="3" borderId="73" xfId="10" applyFont="1" applyFill="1" applyBorder="1" applyAlignment="1">
      <alignment horizontal="center" vertical="center"/>
    </xf>
    <xf numFmtId="0" fontId="11" fillId="6" borderId="33" xfId="10" applyFont="1" applyFill="1" applyBorder="1" applyAlignment="1">
      <alignment horizontal="center" vertical="center" wrapText="1"/>
    </xf>
    <xf numFmtId="0" fontId="3" fillId="0" borderId="70" xfId="10" applyBorder="1" applyAlignment="1">
      <alignment horizontal="center" vertical="center" wrapText="1"/>
    </xf>
    <xf numFmtId="0" fontId="3" fillId="0" borderId="6" xfId="10" applyBorder="1" applyAlignment="1">
      <alignment horizontal="center" vertical="center" wrapText="1"/>
    </xf>
    <xf numFmtId="0" fontId="8" fillId="3" borderId="153" xfId="10" applyFont="1" applyFill="1" applyBorder="1" applyAlignment="1">
      <alignment horizontal="center" vertical="center"/>
    </xf>
    <xf numFmtId="0" fontId="3" fillId="0" borderId="153" xfId="10" applyBorder="1" applyAlignment="1">
      <alignment horizontal="center" vertical="center"/>
    </xf>
    <xf numFmtId="0" fontId="24" fillId="6" borderId="136" xfId="10" applyFont="1" applyFill="1" applyBorder="1" applyAlignment="1">
      <alignment horizontal="center" vertical="center"/>
    </xf>
    <xf numFmtId="0" fontId="3" fillId="0" borderId="138" xfId="10" applyBorder="1" applyAlignment="1">
      <alignment horizontal="center" vertical="center"/>
    </xf>
    <xf numFmtId="0" fontId="3" fillId="0" borderId="125" xfId="10" applyBorder="1" applyAlignment="1">
      <alignment horizontal="center" vertical="center"/>
    </xf>
    <xf numFmtId="0" fontId="5" fillId="2" borderId="153" xfId="10" applyFont="1" applyFill="1" applyBorder="1" applyAlignment="1" applyProtection="1">
      <alignment vertical="center"/>
      <protection locked="0"/>
    </xf>
    <xf numFmtId="0" fontId="3" fillId="0" borderId="153" xfId="10" applyBorder="1" applyAlignment="1" applyProtection="1">
      <alignment vertical="center"/>
      <protection locked="0"/>
    </xf>
    <xf numFmtId="49" fontId="5" fillId="2" borderId="153" xfId="10" applyNumberFormat="1" applyFont="1" applyFill="1" applyBorder="1" applyAlignment="1" applyProtection="1">
      <alignment horizontal="center" vertical="center"/>
      <protection locked="0"/>
    </xf>
    <xf numFmtId="0" fontId="3" fillId="0" borderId="153" xfId="10" applyBorder="1" applyAlignment="1" applyProtection="1">
      <alignment horizontal="center" vertical="center"/>
      <protection locked="0"/>
    </xf>
    <xf numFmtId="0" fontId="5" fillId="3" borderId="3" xfId="10" applyFont="1" applyFill="1" applyBorder="1" applyAlignment="1">
      <alignment vertical="center"/>
    </xf>
    <xf numFmtId="0" fontId="3" fillId="6" borderId="3" xfId="10" applyFill="1" applyBorder="1" applyAlignment="1">
      <alignment vertical="center"/>
    </xf>
    <xf numFmtId="49" fontId="5" fillId="3" borderId="3" xfId="10" applyNumberFormat="1" applyFont="1" applyFill="1" applyBorder="1" applyAlignment="1">
      <alignment horizontal="center" vertical="center"/>
    </xf>
    <xf numFmtId="0" fontId="6" fillId="3" borderId="72" xfId="10" applyFont="1" applyFill="1" applyBorder="1" applyAlignment="1">
      <alignment horizontal="center"/>
    </xf>
    <xf numFmtId="0" fontId="3" fillId="0" borderId="72" xfId="10" applyBorder="1" applyAlignment="1">
      <alignment horizontal="center"/>
    </xf>
    <xf numFmtId="0" fontId="20" fillId="3" borderId="0" xfId="10" applyFont="1" applyFill="1" applyAlignment="1">
      <alignment horizontal="center"/>
    </xf>
    <xf numFmtId="0" fontId="128" fillId="23" borderId="0" xfId="11" applyFont="1" applyFill="1" applyAlignment="1">
      <alignment horizontal="justify" vertical="center" wrapText="1"/>
    </xf>
    <xf numFmtId="0" fontId="128" fillId="19" borderId="0" xfId="11" applyFont="1" applyFill="1" applyAlignment="1">
      <alignment wrapText="1"/>
    </xf>
    <xf numFmtId="0" fontId="11" fillId="0" borderId="0" xfId="0" applyFont="1" applyAlignment="1">
      <alignment wrapText="1"/>
    </xf>
    <xf numFmtId="0" fontId="127" fillId="19" borderId="0" xfId="11" applyFont="1" applyFill="1" applyAlignment="1">
      <alignment vertical="center"/>
    </xf>
    <xf numFmtId="0" fontId="112" fillId="19" borderId="0" xfId="11" applyFont="1" applyFill="1" applyAlignment="1">
      <alignment horizontal="left" vertical="center"/>
    </xf>
    <xf numFmtId="0" fontId="128" fillId="19" borderId="74" xfId="11" applyFont="1" applyFill="1" applyBorder="1" applyAlignment="1" applyProtection="1">
      <alignment horizontal="center"/>
      <protection locked="0"/>
    </xf>
    <xf numFmtId="0" fontId="128" fillId="19" borderId="25" xfId="11" applyFont="1" applyFill="1" applyBorder="1" applyAlignment="1" applyProtection="1">
      <alignment horizontal="center"/>
      <protection locked="0"/>
    </xf>
    <xf numFmtId="0" fontId="128" fillId="19" borderId="75" xfId="11" applyFont="1" applyFill="1" applyBorder="1" applyAlignment="1" applyProtection="1">
      <alignment horizontal="center"/>
      <protection locked="0"/>
    </xf>
    <xf numFmtId="0" fontId="128" fillId="19" borderId="119" xfId="11" applyFont="1" applyFill="1" applyBorder="1" applyAlignment="1" applyProtection="1">
      <alignment horizontal="center"/>
      <protection locked="0"/>
    </xf>
    <xf numFmtId="0" fontId="128" fillId="19" borderId="0" xfId="11" applyFont="1" applyFill="1" applyAlignment="1" applyProtection="1">
      <alignment horizontal="center"/>
      <protection locked="0"/>
    </xf>
    <xf numFmtId="0" fontId="128" fillId="19" borderId="120" xfId="11" applyFont="1" applyFill="1" applyBorder="1" applyAlignment="1" applyProtection="1">
      <alignment horizontal="center"/>
      <protection locked="0"/>
    </xf>
    <xf numFmtId="0" fontId="128" fillId="19" borderId="121" xfId="11" applyFont="1" applyFill="1" applyBorder="1" applyAlignment="1" applyProtection="1">
      <alignment horizontal="center"/>
      <protection locked="0"/>
    </xf>
    <xf numFmtId="0" fontId="128" fillId="19" borderId="122" xfId="11" applyFont="1" applyFill="1" applyBorder="1" applyAlignment="1" applyProtection="1">
      <alignment horizontal="center"/>
      <protection locked="0"/>
    </xf>
    <xf numFmtId="0" fontId="128" fillId="19" borderId="166" xfId="11" applyFont="1" applyFill="1" applyBorder="1" applyAlignment="1" applyProtection="1">
      <alignment horizontal="center"/>
      <protection locked="0"/>
    </xf>
    <xf numFmtId="0" fontId="112" fillId="19" borderId="25" xfId="11" applyFont="1" applyFill="1" applyBorder="1" applyAlignment="1">
      <alignment horizontal="center"/>
    </xf>
    <xf numFmtId="0" fontId="112" fillId="19" borderId="0" xfId="11" applyFont="1" applyFill="1" applyAlignment="1">
      <alignment horizontal="center"/>
    </xf>
    <xf numFmtId="0" fontId="4" fillId="23" borderId="0" xfId="11" applyFont="1" applyFill="1" applyAlignment="1">
      <alignment horizontal="center" vertical="center"/>
    </xf>
    <xf numFmtId="0" fontId="128" fillId="19" borderId="0" xfId="11" applyFont="1" applyFill="1" applyAlignment="1">
      <alignment horizontal="left"/>
    </xf>
    <xf numFmtId="0" fontId="112" fillId="19" borderId="49" xfId="11" applyFont="1" applyFill="1" applyBorder="1" applyAlignment="1">
      <alignment horizontal="center"/>
    </xf>
    <xf numFmtId="0" fontId="112" fillId="19" borderId="122" xfId="11" applyFont="1" applyFill="1" applyBorder="1" applyAlignment="1">
      <alignment horizontal="center" vertical="center"/>
    </xf>
    <xf numFmtId="0" fontId="0" fillId="0" borderId="122" xfId="0" applyBorder="1" applyAlignment="1">
      <alignment horizontal="center" vertical="center"/>
    </xf>
    <xf numFmtId="0" fontId="126" fillId="19" borderId="19" xfId="11" applyFont="1" applyFill="1" applyBorder="1" applyAlignment="1">
      <alignment horizontal="center" vertical="center"/>
    </xf>
    <xf numFmtId="0" fontId="126" fillId="19" borderId="0" xfId="11" applyFont="1" applyFill="1" applyAlignment="1">
      <alignment horizontal="center" vertical="center"/>
    </xf>
    <xf numFmtId="0" fontId="0" fillId="0" borderId="32" xfId="0" applyBorder="1" applyAlignment="1">
      <alignment vertical="center"/>
    </xf>
    <xf numFmtId="0" fontId="126" fillId="19" borderId="8" xfId="11" applyFont="1" applyFill="1" applyBorder="1" applyAlignment="1" applyProtection="1">
      <alignment horizontal="left" vertical="center"/>
      <protection locked="0"/>
    </xf>
    <xf numFmtId="0" fontId="126" fillId="19" borderId="105" xfId="11" applyFont="1" applyFill="1" applyBorder="1" applyAlignment="1" applyProtection="1">
      <alignment horizontal="left" vertical="center"/>
      <protection locked="0"/>
    </xf>
    <xf numFmtId="0" fontId="68" fillId="0" borderId="105" xfId="0" applyFont="1" applyBorder="1" applyAlignment="1" applyProtection="1">
      <alignment vertical="center"/>
      <protection locked="0"/>
    </xf>
    <xf numFmtId="0" fontId="68" fillId="0" borderId="43" xfId="0" applyFont="1" applyBorder="1" applyAlignment="1" applyProtection="1">
      <alignment vertical="center"/>
      <protection locked="0"/>
    </xf>
    <xf numFmtId="0" fontId="112" fillId="19" borderId="40" xfId="11" applyFont="1" applyFill="1" applyBorder="1" applyAlignment="1">
      <alignment horizontal="left" vertical="center" wrapText="1"/>
    </xf>
    <xf numFmtId="0" fontId="0" fillId="0" borderId="40" xfId="0" applyBorder="1" applyAlignment="1">
      <alignment horizontal="left" vertical="center" wrapText="1"/>
    </xf>
    <xf numFmtId="14" fontId="126" fillId="19" borderId="26" xfId="11" applyNumberFormat="1" applyFont="1" applyFill="1" applyBorder="1" applyAlignment="1" applyProtection="1">
      <alignment horizontal="center" vertical="center"/>
      <protection locked="0"/>
    </xf>
    <xf numFmtId="14" fontId="126" fillId="19" borderId="71" xfId="11" applyNumberFormat="1" applyFont="1" applyFill="1" applyBorder="1" applyAlignment="1" applyProtection="1">
      <alignment horizontal="center" vertical="center"/>
      <protection locked="0"/>
    </xf>
    <xf numFmtId="0" fontId="127" fillId="19" borderId="0" xfId="11" applyFont="1" applyFill="1" applyAlignment="1">
      <alignment horizontal="left" vertical="center"/>
    </xf>
    <xf numFmtId="49" fontId="126" fillId="19" borderId="26" xfId="11" applyNumberFormat="1" applyFont="1" applyFill="1" applyBorder="1" applyAlignment="1" applyProtection="1">
      <alignment horizontal="center" vertical="center"/>
      <protection locked="0"/>
    </xf>
    <xf numFmtId="49" fontId="126" fillId="19" borderId="71" xfId="11" applyNumberFormat="1" applyFont="1" applyFill="1" applyBorder="1" applyAlignment="1" applyProtection="1">
      <alignment horizontal="center" vertical="center"/>
      <protection locked="0"/>
    </xf>
    <xf numFmtId="0" fontId="112" fillId="19" borderId="0" xfId="11" applyFont="1" applyFill="1" applyAlignment="1">
      <alignment horizontal="center" vertical="center"/>
    </xf>
    <xf numFmtId="167" fontId="126" fillId="19" borderId="26" xfId="11" applyNumberFormat="1" applyFont="1" applyFill="1" applyBorder="1" applyAlignment="1" applyProtection="1">
      <alignment horizontal="center" vertical="center"/>
      <protection locked="0"/>
    </xf>
    <xf numFmtId="167" fontId="126" fillId="19" borderId="71" xfId="11" applyNumberFormat="1" applyFont="1" applyFill="1" applyBorder="1" applyAlignment="1" applyProtection="1">
      <alignment horizontal="center" vertical="center"/>
      <protection locked="0"/>
    </xf>
    <xf numFmtId="0" fontId="112" fillId="19" borderId="124" xfId="11" applyFont="1" applyFill="1" applyBorder="1" applyAlignment="1">
      <alignment horizontal="left" vertical="center"/>
    </xf>
    <xf numFmtId="0" fontId="0" fillId="0" borderId="108" xfId="0" applyBorder="1" applyAlignment="1">
      <alignment vertical="center"/>
    </xf>
    <xf numFmtId="0" fontId="68" fillId="0" borderId="105" xfId="0" applyFont="1" applyBorder="1" applyAlignment="1">
      <alignment vertical="center"/>
    </xf>
    <xf numFmtId="0" fontId="68" fillId="0" borderId="71" xfId="0" applyFont="1" applyBorder="1" applyAlignment="1">
      <alignment vertical="center"/>
    </xf>
    <xf numFmtId="49" fontId="126" fillId="19" borderId="79" xfId="11" applyNumberFormat="1" applyFont="1" applyFill="1" applyBorder="1" applyAlignment="1">
      <alignment horizontal="left" vertical="center"/>
    </xf>
    <xf numFmtId="49" fontId="126" fillId="19" borderId="40" xfId="11" applyNumberFormat="1" applyFont="1" applyFill="1" applyBorder="1" applyAlignment="1">
      <alignment horizontal="left" vertical="center"/>
    </xf>
    <xf numFmtId="0" fontId="0" fillId="0" borderId="80" xfId="0" applyBorder="1" applyAlignment="1">
      <alignment vertical="center"/>
    </xf>
    <xf numFmtId="0" fontId="112" fillId="19" borderId="0" xfId="11" applyFont="1" applyFill="1" applyAlignment="1">
      <alignment horizontal="left" vertical="center" wrapText="1"/>
    </xf>
    <xf numFmtId="49" fontId="126" fillId="19" borderId="8" xfId="11" applyNumberFormat="1" applyFont="1" applyFill="1" applyBorder="1" applyAlignment="1" applyProtection="1">
      <alignment horizontal="left" vertical="center"/>
      <protection locked="0"/>
    </xf>
    <xf numFmtId="49" fontId="126" fillId="19" borderId="105" xfId="11" applyNumberFormat="1" applyFont="1" applyFill="1" applyBorder="1" applyAlignment="1" applyProtection="1">
      <alignment horizontal="left" vertical="center"/>
      <protection locked="0"/>
    </xf>
    <xf numFmtId="49" fontId="126" fillId="19" borderId="43" xfId="11" applyNumberFormat="1" applyFont="1" applyFill="1" applyBorder="1" applyAlignment="1" applyProtection="1">
      <alignment horizontal="left" vertical="center"/>
      <protection locked="0"/>
    </xf>
    <xf numFmtId="0" fontId="125" fillId="19" borderId="0" xfId="11" applyFont="1" applyFill="1" applyAlignment="1">
      <alignment horizontal="center" vertical="center"/>
    </xf>
    <xf numFmtId="49" fontId="127" fillId="19" borderId="8" xfId="11" applyNumberFormat="1" applyFont="1" applyFill="1" applyBorder="1" applyAlignment="1" applyProtection="1">
      <alignment horizontal="left" vertical="center"/>
      <protection locked="0"/>
    </xf>
    <xf numFmtId="49" fontId="127" fillId="19" borderId="105" xfId="11" applyNumberFormat="1" applyFont="1" applyFill="1" applyBorder="1" applyAlignment="1" applyProtection="1">
      <alignment horizontal="left" vertical="center"/>
      <protection locked="0"/>
    </xf>
    <xf numFmtId="49" fontId="127" fillId="19" borderId="43" xfId="11" applyNumberFormat="1" applyFont="1" applyFill="1" applyBorder="1" applyAlignment="1" applyProtection="1">
      <alignment horizontal="left" vertical="center"/>
      <protection locked="0"/>
    </xf>
    <xf numFmtId="0" fontId="112" fillId="19" borderId="81" xfId="11" applyFont="1" applyFill="1" applyBorder="1" applyAlignment="1">
      <alignment horizontal="left" vertical="center"/>
    </xf>
    <xf numFmtId="0" fontId="112" fillId="19" borderId="72" xfId="11" applyFont="1" applyFill="1" applyBorder="1" applyAlignment="1">
      <alignment horizontal="left" vertical="center"/>
    </xf>
    <xf numFmtId="0" fontId="0" fillId="0" borderId="78" xfId="0" applyBorder="1" applyAlignment="1">
      <alignment vertical="center"/>
    </xf>
    <xf numFmtId="0" fontId="112" fillId="19" borderId="19" xfId="11" applyFont="1" applyFill="1" applyBorder="1" applyAlignment="1">
      <alignment horizontal="left" vertical="center"/>
    </xf>
    <xf numFmtId="0" fontId="112" fillId="19" borderId="32" xfId="11" applyFont="1" applyFill="1" applyBorder="1" applyAlignment="1">
      <alignment horizontal="left" vertical="center"/>
    </xf>
    <xf numFmtId="0" fontId="112" fillId="19" borderId="5" xfId="11" applyFont="1" applyFill="1" applyBorder="1" applyAlignment="1">
      <alignment horizontal="left" vertical="center"/>
    </xf>
    <xf numFmtId="0" fontId="112" fillId="19" borderId="24" xfId="11" applyFont="1" applyFill="1" applyBorder="1" applyAlignment="1">
      <alignment horizontal="left" vertical="center"/>
    </xf>
    <xf numFmtId="0" fontId="0" fillId="0" borderId="44" xfId="0" applyBorder="1" applyAlignment="1">
      <alignment vertical="center"/>
    </xf>
    <xf numFmtId="0" fontId="124" fillId="19" borderId="0" xfId="11" applyFont="1" applyFill="1" applyAlignment="1">
      <alignment horizontal="center" vertical="center"/>
    </xf>
    <xf numFmtId="0" fontId="112" fillId="19" borderId="0" xfId="11" applyFont="1" applyFill="1" applyAlignment="1">
      <alignment horizontal="left"/>
    </xf>
    <xf numFmtId="0" fontId="126" fillId="19" borderId="71" xfId="11" applyFont="1" applyFill="1" applyBorder="1" applyAlignment="1" applyProtection="1">
      <alignment horizontal="left" vertical="center"/>
      <protection locked="0"/>
    </xf>
    <xf numFmtId="0" fontId="112" fillId="19" borderId="108" xfId="11" applyFont="1" applyFill="1" applyBorder="1" applyAlignment="1">
      <alignment horizontal="left" vertical="center"/>
    </xf>
    <xf numFmtId="0" fontId="126" fillId="19" borderId="26" xfId="11" applyFont="1" applyFill="1" applyBorder="1" applyAlignment="1" applyProtection="1">
      <alignment horizontal="left" vertical="center"/>
      <protection locked="0"/>
    </xf>
    <xf numFmtId="0" fontId="126" fillId="19" borderId="8" xfId="11" applyFont="1" applyFill="1" applyBorder="1" applyAlignment="1">
      <alignment horizontal="left" vertical="center"/>
    </xf>
    <xf numFmtId="0" fontId="126" fillId="19" borderId="105" xfId="11" applyFont="1" applyFill="1" applyBorder="1" applyAlignment="1">
      <alignment horizontal="left" vertical="center"/>
    </xf>
    <xf numFmtId="2" fontId="126" fillId="19" borderId="26" xfId="11" applyNumberFormat="1" applyFont="1" applyFill="1" applyBorder="1" applyAlignment="1">
      <alignment horizontal="left" vertical="center"/>
    </xf>
    <xf numFmtId="0" fontId="0" fillId="0" borderId="43" xfId="0" applyBorder="1" applyAlignment="1">
      <alignment horizontal="left" vertical="center"/>
    </xf>
    <xf numFmtId="2" fontId="112" fillId="19" borderId="22" xfId="11" applyNumberFormat="1" applyFont="1" applyFill="1" applyBorder="1" applyAlignment="1">
      <alignment horizontal="left" vertical="center"/>
    </xf>
    <xf numFmtId="2" fontId="112" fillId="19" borderId="6" xfId="11" applyNumberFormat="1" applyFont="1" applyFill="1" applyBorder="1" applyAlignment="1">
      <alignment horizontal="left" vertical="center"/>
    </xf>
    <xf numFmtId="0" fontId="127" fillId="19" borderId="0" xfId="11" applyFont="1" applyFill="1" applyAlignment="1">
      <alignment horizontal="center" vertical="center"/>
    </xf>
    <xf numFmtId="0" fontId="126" fillId="19" borderId="0" xfId="11" applyFont="1" applyFill="1" applyAlignment="1" applyProtection="1">
      <alignment horizontal="center" vertical="center"/>
      <protection locked="0"/>
    </xf>
    <xf numFmtId="0" fontId="126" fillId="19" borderId="83" xfId="11" applyFont="1" applyFill="1" applyBorder="1" applyAlignment="1" applyProtection="1">
      <alignment horizontal="center" vertical="center"/>
      <protection locked="0"/>
    </xf>
    <xf numFmtId="0" fontId="1" fillId="19" borderId="0" xfId="11" applyFill="1" applyAlignment="1">
      <alignment horizontal="center" vertical="center"/>
    </xf>
    <xf numFmtId="0" fontId="1" fillId="19" borderId="0" xfId="11" applyFill="1" applyAlignment="1">
      <alignment horizontal="center"/>
    </xf>
    <xf numFmtId="0" fontId="11" fillId="7" borderId="164" xfId="0" applyFont="1" applyFill="1" applyBorder="1" applyAlignment="1">
      <alignment vertical="center"/>
    </xf>
    <xf numFmtId="0" fontId="0" fillId="0" borderId="120" xfId="0" applyBorder="1" applyAlignment="1">
      <alignment vertical="center"/>
    </xf>
    <xf numFmtId="0" fontId="11" fillId="0" borderId="164" xfId="0" applyFont="1" applyBorder="1" applyAlignment="1">
      <alignment vertical="center"/>
    </xf>
    <xf numFmtId="0" fontId="3" fillId="7" borderId="119" xfId="0" applyFont="1" applyFill="1" applyBorder="1" applyAlignment="1">
      <alignment vertical="center"/>
    </xf>
    <xf numFmtId="0" fontId="0" fillId="0" borderId="119" xfId="0" applyBorder="1" applyAlignment="1">
      <alignment vertical="center"/>
    </xf>
    <xf numFmtId="0" fontId="11" fillId="7" borderId="61" xfId="0" applyFont="1" applyFill="1" applyBorder="1" applyAlignment="1">
      <alignment vertical="center"/>
    </xf>
    <xf numFmtId="0" fontId="11" fillId="7" borderId="0" xfId="0" applyFont="1" applyFill="1" applyAlignment="1">
      <alignment vertical="center"/>
    </xf>
    <xf numFmtId="0" fontId="3" fillId="7" borderId="0" xfId="0" applyFont="1" applyFill="1" applyAlignment="1">
      <alignment vertical="center"/>
    </xf>
    <xf numFmtId="0" fontId="58" fillId="7" borderId="34" xfId="0" applyFont="1" applyFill="1" applyBorder="1" applyAlignment="1">
      <alignment vertical="center"/>
    </xf>
    <xf numFmtId="49" fontId="58" fillId="7"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2" borderId="37" xfId="0" applyNumberFormat="1" applyFont="1" applyFill="1" applyBorder="1" applyAlignment="1">
      <alignment horizontal="center" vertical="center"/>
    </xf>
    <xf numFmtId="0" fontId="11" fillId="7" borderId="119" xfId="0" applyFont="1" applyFill="1" applyBorder="1" applyAlignment="1">
      <alignment vertical="top" wrapText="1"/>
    </xf>
    <xf numFmtId="0" fontId="3" fillId="0" borderId="0" xfId="0" applyFont="1" applyAlignment="1">
      <alignment vertical="top" wrapText="1"/>
    </xf>
    <xf numFmtId="0" fontId="3" fillId="0" borderId="164" xfId="0" applyFont="1" applyBorder="1" applyAlignment="1">
      <alignment vertical="top" wrapText="1"/>
    </xf>
    <xf numFmtId="0" fontId="92" fillId="7" borderId="0" xfId="0" applyFont="1" applyFill="1" applyAlignment="1">
      <alignment vertical="center"/>
    </xf>
    <xf numFmtId="0" fontId="0" fillId="0" borderId="122" xfId="0" applyBorder="1" applyAlignment="1">
      <alignment vertical="center"/>
    </xf>
    <xf numFmtId="0" fontId="11" fillId="7" borderId="119" xfId="0" applyFont="1" applyFill="1" applyBorder="1" applyAlignment="1">
      <alignment vertical="center"/>
    </xf>
    <xf numFmtId="0" fontId="3" fillId="7" borderId="62" xfId="0" applyFont="1" applyFill="1" applyBorder="1" applyAlignment="1">
      <alignment vertical="center"/>
    </xf>
    <xf numFmtId="4" fontId="3" fillId="7" borderId="26" xfId="0" applyNumberFormat="1" applyFont="1" applyFill="1" applyBorder="1" applyAlignment="1" applyProtection="1">
      <alignment vertical="center"/>
      <protection locked="0"/>
    </xf>
    <xf numFmtId="0" fontId="0" fillId="0" borderId="137" xfId="0" applyBorder="1" applyAlignment="1">
      <alignment vertical="center"/>
    </xf>
    <xf numFmtId="0" fontId="11" fillId="7" borderId="34" xfId="0" applyFont="1" applyFill="1" applyBorder="1" applyAlignment="1">
      <alignment horizontal="center" vertical="center"/>
    </xf>
    <xf numFmtId="0" fontId="11" fillId="7" borderId="34" xfId="0" applyFont="1" applyFill="1" applyBorder="1" applyAlignment="1">
      <alignment vertical="center"/>
    </xf>
    <xf numFmtId="4" fontId="53" fillId="7" borderId="104" xfId="0" applyNumberFormat="1" applyFont="1" applyFill="1" applyBorder="1" applyAlignment="1" applyProtection="1">
      <alignment vertical="center"/>
      <protection locked="0"/>
    </xf>
    <xf numFmtId="0" fontId="0" fillId="0" borderId="105" xfId="0" applyBorder="1" applyAlignment="1">
      <alignment vertical="center"/>
    </xf>
    <xf numFmtId="0" fontId="0" fillId="0" borderId="106" xfId="0" applyBorder="1" applyAlignment="1">
      <alignment vertical="center"/>
    </xf>
    <xf numFmtId="3" fontId="58" fillId="7" borderId="42" xfId="0" applyNumberFormat="1" applyFont="1" applyFill="1" applyBorder="1" applyAlignment="1">
      <alignment horizontal="center" vertical="center"/>
    </xf>
    <xf numFmtId="0" fontId="0" fillId="0" borderId="42" xfId="0" applyBorder="1" applyAlignment="1">
      <alignment horizontal="center" vertical="center"/>
    </xf>
    <xf numFmtId="3" fontId="58" fillId="7" borderId="105" xfId="0" applyNumberFormat="1" applyFont="1" applyFill="1" applyBorder="1" applyAlignment="1">
      <alignment horizontal="center" vertical="center"/>
    </xf>
    <xf numFmtId="0" fontId="0" fillId="0" borderId="105" xfId="0" applyBorder="1" applyAlignment="1">
      <alignment horizontal="center" vertical="center"/>
    </xf>
    <xf numFmtId="0" fontId="2" fillId="7" borderId="26" xfId="0" applyFont="1" applyFill="1" applyBorder="1" applyAlignment="1">
      <alignment vertical="center"/>
    </xf>
    <xf numFmtId="0" fontId="2" fillId="7" borderId="137" xfId="0" applyFont="1" applyFill="1" applyBorder="1" applyAlignment="1">
      <alignment vertical="center"/>
    </xf>
    <xf numFmtId="0" fontId="2" fillId="7" borderId="71" xfId="0" applyFont="1" applyFill="1" applyBorder="1" applyAlignment="1">
      <alignment vertical="center"/>
    </xf>
    <xf numFmtId="4" fontId="0" fillId="0" borderId="104" xfId="0" applyNumberFormat="1" applyBorder="1" applyAlignment="1">
      <alignment vertical="center"/>
    </xf>
    <xf numFmtId="4" fontId="0" fillId="0" borderId="105" xfId="0" applyNumberFormat="1" applyBorder="1" applyAlignment="1">
      <alignment vertical="center"/>
    </xf>
    <xf numFmtId="4" fontId="0" fillId="0" borderId="106" xfId="0" applyNumberFormat="1" applyBorder="1" applyAlignment="1">
      <alignment vertical="center"/>
    </xf>
    <xf numFmtId="4" fontId="3" fillId="7" borderId="104" xfId="0" applyNumberFormat="1" applyFont="1" applyFill="1" applyBorder="1" applyAlignment="1" applyProtection="1">
      <alignment vertical="center"/>
      <protection locked="0"/>
    </xf>
    <xf numFmtId="0" fontId="3" fillId="7" borderId="164" xfId="0" applyFont="1" applyFill="1" applyBorder="1" applyAlignment="1">
      <alignment vertical="center"/>
    </xf>
    <xf numFmtId="3" fontId="2" fillId="7" borderId="34" xfId="0" applyNumberFormat="1" applyFont="1" applyFill="1" applyBorder="1" applyAlignment="1">
      <alignment vertical="center"/>
    </xf>
    <xf numFmtId="0" fontId="3" fillId="7" borderId="34" xfId="0" applyFont="1" applyFill="1" applyBorder="1" applyAlignment="1">
      <alignment vertical="center"/>
    </xf>
    <xf numFmtId="0" fontId="3" fillId="2" borderId="0" xfId="0" applyFont="1" applyFill="1" applyAlignment="1">
      <alignment vertical="center"/>
    </xf>
    <xf numFmtId="0" fontId="11" fillId="7" borderId="34" xfId="0" applyFont="1" applyFill="1" applyBorder="1" applyAlignment="1">
      <alignment vertical="center" wrapText="1"/>
    </xf>
    <xf numFmtId="0" fontId="94" fillId="7" borderId="0" xfId="0" applyFont="1" applyFill="1" applyAlignment="1">
      <alignment vertical="center" wrapText="1"/>
    </xf>
    <xf numFmtId="0" fontId="3" fillId="0" borderId="0" xfId="0" applyFont="1" applyAlignment="1">
      <alignment vertical="center"/>
    </xf>
    <xf numFmtId="166" fontId="3" fillId="7" borderId="104" xfId="0" applyNumberFormat="1" applyFont="1" applyFill="1" applyBorder="1" applyAlignment="1" applyProtection="1">
      <alignment horizontal="left" vertical="center"/>
      <protection locked="0"/>
    </xf>
    <xf numFmtId="166" fontId="0" fillId="0" borderId="106" xfId="0" applyNumberFormat="1" applyBorder="1" applyAlignment="1" applyProtection="1">
      <alignment horizontal="left" vertical="center"/>
      <protection locked="0"/>
    </xf>
    <xf numFmtId="0" fontId="11" fillId="7" borderId="104" xfId="0" applyFont="1" applyFill="1" applyBorder="1" applyAlignment="1">
      <alignment vertical="center"/>
    </xf>
    <xf numFmtId="0" fontId="92" fillId="7" borderId="104" xfId="0" applyFont="1" applyFill="1" applyBorder="1" applyAlignment="1">
      <alignment horizontal="left" vertical="center"/>
    </xf>
    <xf numFmtId="0" fontId="0" fillId="0" borderId="105" xfId="0" applyBorder="1" applyAlignment="1">
      <alignment horizontal="left" vertical="center"/>
    </xf>
    <xf numFmtId="0" fontId="0" fillId="0" borderId="106" xfId="0" applyBorder="1" applyAlignment="1">
      <alignment horizontal="left" vertical="center"/>
    </xf>
    <xf numFmtId="3" fontId="26" fillId="2" borderId="104" xfId="0" applyNumberFormat="1" applyFont="1" applyFill="1" applyBorder="1" applyAlignment="1" applyProtection="1">
      <alignment horizontal="center" vertical="center"/>
      <protection locked="0"/>
    </xf>
    <xf numFmtId="0" fontId="0" fillId="0" borderId="105" xfId="0" applyBorder="1" applyAlignment="1" applyProtection="1">
      <alignment vertical="center"/>
      <protection locked="0"/>
    </xf>
    <xf numFmtId="0" fontId="0" fillId="0" borderId="106" xfId="0" applyBorder="1" applyAlignment="1" applyProtection="1">
      <alignment vertical="center"/>
      <protection locked="0"/>
    </xf>
    <xf numFmtId="0" fontId="11" fillId="7" borderId="108" xfId="0" applyFont="1" applyFill="1" applyBorder="1" applyAlignment="1">
      <alignment vertical="center"/>
    </xf>
    <xf numFmtId="0" fontId="92" fillId="7" borderId="104" xfId="0" applyFont="1" applyFill="1"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0" fillId="0" borderId="106" xfId="0" applyBorder="1" applyAlignment="1" applyProtection="1">
      <alignment horizontal="left" vertical="center"/>
      <protection locked="0"/>
    </xf>
    <xf numFmtId="0" fontId="11" fillId="7" borderId="122" xfId="0" applyFont="1" applyFill="1" applyBorder="1" applyAlignment="1">
      <alignment vertical="center"/>
    </xf>
    <xf numFmtId="0" fontId="3" fillId="7" borderId="104" xfId="0" applyFont="1" applyFill="1" applyBorder="1" applyAlignment="1">
      <alignment horizontal="left" vertical="center"/>
    </xf>
    <xf numFmtId="0" fontId="11" fillId="2" borderId="108" xfId="0" applyFont="1" applyFill="1" applyBorder="1" applyAlignment="1">
      <alignment vertical="center"/>
    </xf>
    <xf numFmtId="0" fontId="11" fillId="0" borderId="108" xfId="0" applyFont="1" applyBorder="1" applyAlignment="1">
      <alignment vertical="center"/>
    </xf>
    <xf numFmtId="0" fontId="11" fillId="0" borderId="109" xfId="0" applyFont="1" applyBorder="1" applyAlignment="1">
      <alignment vertical="center"/>
    </xf>
    <xf numFmtId="49" fontId="3" fillId="7" borderId="104" xfId="0" applyNumberFormat="1" applyFont="1" applyFill="1" applyBorder="1" applyAlignment="1">
      <alignment vertical="center"/>
    </xf>
    <xf numFmtId="0" fontId="3" fillId="2" borderId="37" xfId="0" applyFont="1" applyFill="1" applyBorder="1" applyAlignment="1">
      <alignment vertical="center"/>
    </xf>
    <xf numFmtId="0" fontId="2" fillId="7" borderId="161" xfId="0" applyFont="1" applyFill="1" applyBorder="1" applyAlignment="1">
      <alignment vertical="center"/>
    </xf>
    <xf numFmtId="0" fontId="2" fillId="7" borderId="162" xfId="0" applyFont="1" applyFill="1" applyBorder="1" applyAlignment="1">
      <alignment vertical="center"/>
    </xf>
    <xf numFmtId="0" fontId="2" fillId="7" borderId="163" xfId="0" applyFont="1" applyFill="1" applyBorder="1" applyAlignment="1">
      <alignment vertical="center"/>
    </xf>
    <xf numFmtId="0" fontId="58" fillId="7" borderId="164" xfId="0" applyFont="1" applyFill="1" applyBorder="1" applyAlignment="1">
      <alignment vertical="center"/>
    </xf>
    <xf numFmtId="0" fontId="2" fillId="0" borderId="0" xfId="0" applyFont="1" applyAlignment="1">
      <alignment vertical="center"/>
    </xf>
    <xf numFmtId="0" fontId="2" fillId="0" borderId="120" xfId="0" applyFont="1" applyBorder="1" applyAlignment="1">
      <alignment vertical="center"/>
    </xf>
    <xf numFmtId="0" fontId="3" fillId="7" borderId="120" xfId="0" applyFont="1" applyFill="1" applyBorder="1" applyAlignment="1">
      <alignment vertical="center"/>
    </xf>
    <xf numFmtId="1" fontId="2" fillId="7" borderId="99" xfId="0" applyNumberFormat="1" applyFont="1" applyFill="1" applyBorder="1" applyAlignment="1" applyProtection="1">
      <alignment horizontal="left" vertical="center"/>
      <protection locked="0"/>
    </xf>
    <xf numFmtId="1" fontId="2" fillId="7" borderId="100" xfId="0" applyNumberFormat="1" applyFont="1" applyFill="1" applyBorder="1" applyAlignment="1" applyProtection="1">
      <alignment horizontal="left" vertical="center"/>
      <protection locked="0"/>
    </xf>
    <xf numFmtId="1" fontId="2" fillId="2" borderId="100" xfId="0" applyNumberFormat="1" applyFont="1" applyFill="1" applyBorder="1" applyAlignment="1" applyProtection="1">
      <alignment horizontal="left" vertical="center"/>
      <protection locked="0"/>
    </xf>
    <xf numFmtId="1" fontId="2" fillId="0" borderId="100" xfId="0" applyNumberFormat="1" applyFont="1" applyBorder="1" applyAlignment="1" applyProtection="1">
      <alignment horizontal="left" vertical="center"/>
      <protection locked="0"/>
    </xf>
    <xf numFmtId="1" fontId="2" fillId="0" borderId="101" xfId="0" applyNumberFormat="1" applyFont="1" applyBorder="1" applyAlignment="1" applyProtection="1">
      <alignment horizontal="left" vertical="center"/>
      <protection locked="0"/>
    </xf>
    <xf numFmtId="0" fontId="58" fillId="7" borderId="102" xfId="0" applyFont="1" applyFill="1" applyBorder="1" applyAlignment="1">
      <alignment vertical="center"/>
    </xf>
    <xf numFmtId="0" fontId="2" fillId="2" borderId="102" xfId="0" applyFont="1" applyFill="1" applyBorder="1" applyAlignment="1">
      <alignment vertical="center"/>
    </xf>
    <xf numFmtId="0" fontId="2" fillId="0" borderId="102" xfId="0" applyFont="1" applyBorder="1" applyAlignment="1">
      <alignment vertical="center"/>
    </xf>
    <xf numFmtId="0" fontId="3" fillId="7" borderId="104" xfId="0" applyFont="1" applyFill="1" applyBorder="1" applyAlignment="1" applyProtection="1">
      <alignment vertical="center"/>
      <protection locked="0"/>
    </xf>
    <xf numFmtId="49" fontId="2" fillId="7" borderId="104" xfId="0" applyNumberFormat="1" applyFont="1" applyFill="1" applyBorder="1" applyAlignment="1">
      <alignment vertical="center"/>
    </xf>
    <xf numFmtId="0" fontId="2" fillId="7" borderId="105" xfId="0" applyFont="1" applyFill="1" applyBorder="1" applyAlignment="1">
      <alignment vertical="center"/>
    </xf>
    <xf numFmtId="0" fontId="2" fillId="2" borderId="105" xfId="0" applyFont="1" applyFill="1" applyBorder="1" applyAlignment="1">
      <alignment vertical="center"/>
    </xf>
    <xf numFmtId="0" fontId="0" fillId="0" borderId="123" xfId="0" applyBorder="1" applyAlignment="1">
      <alignment vertical="center"/>
    </xf>
    <xf numFmtId="0" fontId="58" fillId="7" borderId="122" xfId="0" applyFont="1" applyFill="1" applyBorder="1" applyAlignment="1">
      <alignment vertical="center"/>
    </xf>
    <xf numFmtId="0" fontId="3" fillId="7" borderId="26" xfId="0" applyFont="1" applyFill="1" applyBorder="1" applyAlignment="1" applyProtection="1">
      <alignment horizontal="left" vertical="center"/>
      <protection locked="0"/>
    </xf>
    <xf numFmtId="0" fontId="3" fillId="7" borderId="23" xfId="0" applyFont="1" applyFill="1" applyBorder="1" applyAlignment="1" applyProtection="1">
      <alignment horizontal="left" vertical="center"/>
      <protection locked="0"/>
    </xf>
    <xf numFmtId="0" fontId="3" fillId="7" borderId="71" xfId="0" applyFont="1" applyFill="1" applyBorder="1" applyAlignment="1" applyProtection="1">
      <alignment horizontal="left" vertical="center"/>
      <protection locked="0"/>
    </xf>
    <xf numFmtId="0" fontId="11" fillId="2" borderId="122" xfId="0" applyFont="1" applyFill="1" applyBorder="1" applyAlignment="1">
      <alignment horizontal="left" vertical="center"/>
    </xf>
    <xf numFmtId="49" fontId="2" fillId="7" borderId="26" xfId="0" applyNumberFormat="1" applyFont="1" applyFill="1" applyBorder="1" applyAlignment="1">
      <alignment vertical="center"/>
    </xf>
    <xf numFmtId="49" fontId="2" fillId="7" borderId="23" xfId="0" applyNumberFormat="1" applyFont="1" applyFill="1" applyBorder="1" applyAlignment="1">
      <alignment vertical="center"/>
    </xf>
    <xf numFmtId="0" fontId="11" fillId="7" borderId="0" xfId="0" applyFont="1" applyFill="1" applyAlignment="1">
      <alignment horizontal="center" vertical="center"/>
    </xf>
    <xf numFmtId="0" fontId="11" fillId="7" borderId="164" xfId="0" applyFont="1" applyFill="1" applyBorder="1" applyAlignment="1">
      <alignment horizontal="center" vertical="center"/>
    </xf>
    <xf numFmtId="0" fontId="77" fillId="7" borderId="34" xfId="0" applyFont="1" applyFill="1" applyBorder="1" applyAlignment="1">
      <alignment vertical="center" wrapText="1"/>
    </xf>
    <xf numFmtId="0" fontId="77" fillId="7" borderId="0" xfId="0" applyFont="1" applyFill="1" applyAlignment="1">
      <alignment vertical="center" wrapText="1"/>
    </xf>
    <xf numFmtId="0" fontId="2" fillId="2" borderId="0" xfId="0" applyFont="1" applyFill="1" applyAlignment="1">
      <alignment vertical="center"/>
    </xf>
    <xf numFmtId="0" fontId="2" fillId="2" borderId="37" xfId="0" applyFont="1" applyFill="1" applyBorder="1" applyAlignment="1">
      <alignment vertical="center"/>
    </xf>
    <xf numFmtId="0" fontId="0" fillId="19" borderId="0" xfId="0" applyFill="1" applyAlignment="1">
      <alignment vertical="center"/>
    </xf>
    <xf numFmtId="0" fontId="105" fillId="7" borderId="107" xfId="0" applyFont="1" applyFill="1" applyBorder="1" applyAlignment="1">
      <alignment vertical="center"/>
    </xf>
    <xf numFmtId="0" fontId="0" fillId="0" borderId="109" xfId="0" applyBorder="1" applyAlignment="1">
      <alignment vertical="center"/>
    </xf>
    <xf numFmtId="0" fontId="11" fillId="19" borderId="164" xfId="0" applyFont="1" applyFill="1" applyBorder="1" applyAlignment="1">
      <alignment vertical="center"/>
    </xf>
    <xf numFmtId="0" fontId="11" fillId="0" borderId="0" xfId="0" applyFont="1" applyAlignment="1">
      <alignment vertical="center"/>
    </xf>
    <xf numFmtId="0" fontId="11" fillId="0" borderId="120" xfId="0" applyFont="1" applyBorder="1" applyAlignment="1">
      <alignment vertical="center"/>
    </xf>
    <xf numFmtId="0" fontId="94" fillId="7" borderId="34" xfId="0" applyFont="1" applyFill="1" applyBorder="1" applyAlignment="1">
      <alignment vertical="center"/>
    </xf>
    <xf numFmtId="0" fontId="11" fillId="7" borderId="47" xfId="0" applyFont="1" applyFill="1" applyBorder="1" applyAlignment="1">
      <alignment vertical="center"/>
    </xf>
    <xf numFmtId="0" fontId="0" fillId="0" borderId="42" xfId="0" applyBorder="1" applyAlignment="1">
      <alignment vertical="center"/>
    </xf>
    <xf numFmtId="0" fontId="0" fillId="0" borderId="76" xfId="0" applyBorder="1" applyAlignment="1">
      <alignment vertical="center"/>
    </xf>
    <xf numFmtId="0" fontId="11" fillId="7" borderId="164" xfId="0" applyFont="1" applyFill="1" applyBorder="1" applyAlignment="1">
      <alignment vertical="center" wrapText="1"/>
    </xf>
    <xf numFmtId="0" fontId="11" fillId="7" borderId="0" xfId="0" applyFont="1" applyFill="1" applyAlignment="1">
      <alignment vertical="center" wrapText="1"/>
    </xf>
    <xf numFmtId="0" fontId="80" fillId="2" borderId="0" xfId="0" applyFont="1" applyFill="1" applyAlignment="1">
      <alignment vertical="center" wrapText="1"/>
    </xf>
    <xf numFmtId="0" fontId="3" fillId="2" borderId="0" xfId="0" applyFont="1" applyFill="1" applyAlignment="1">
      <alignment vertical="center" wrapText="1"/>
    </xf>
    <xf numFmtId="0" fontId="12" fillId="7" borderId="34" xfId="0" applyFont="1" applyFill="1" applyBorder="1" applyAlignment="1">
      <alignment vertical="center"/>
    </xf>
    <xf numFmtId="0" fontId="92" fillId="2" borderId="0" xfId="0" applyFont="1" applyFill="1" applyAlignment="1">
      <alignment horizontal="center"/>
    </xf>
    <xf numFmtId="0" fontId="81" fillId="7" borderId="0" xfId="0" applyFont="1" applyFill="1" applyAlignment="1">
      <alignment horizontal="center" vertical="center"/>
    </xf>
    <xf numFmtId="0" fontId="12" fillId="7" borderId="0" xfId="0" applyFont="1" applyFill="1" applyAlignment="1">
      <alignment horizontal="center" vertical="center"/>
    </xf>
    <xf numFmtId="0" fontId="3" fillId="2" borderId="0" xfId="0" applyFont="1" applyFill="1" applyAlignment="1">
      <alignment horizontal="center"/>
    </xf>
    <xf numFmtId="0" fontId="26" fillId="7" borderId="0" xfId="0" applyFont="1" applyFill="1"/>
    <xf numFmtId="0" fontId="26" fillId="7" borderId="37" xfId="0" applyFont="1" applyFill="1" applyBorder="1"/>
    <xf numFmtId="0" fontId="26" fillId="7" borderId="42" xfId="0" applyFont="1" applyFill="1" applyBorder="1"/>
    <xf numFmtId="0" fontId="2" fillId="7" borderId="23" xfId="0" applyFont="1" applyFill="1" applyBorder="1" applyAlignment="1">
      <alignment vertical="center"/>
    </xf>
    <xf numFmtId="0" fontId="3" fillId="0" borderId="23" xfId="0" applyFont="1" applyBorder="1" applyAlignment="1">
      <alignment vertical="center"/>
    </xf>
    <xf numFmtId="0" fontId="3" fillId="0" borderId="71" xfId="0" applyFont="1" applyBorder="1" applyAlignment="1">
      <alignment vertical="center"/>
    </xf>
    <xf numFmtId="0" fontId="105" fillId="7" borderId="74" xfId="0" applyFont="1" applyFill="1" applyBorder="1" applyAlignment="1">
      <alignment vertical="center"/>
    </xf>
    <xf numFmtId="0" fontId="0" fillId="0" borderId="25" xfId="0" applyBorder="1" applyAlignment="1">
      <alignment vertical="center"/>
    </xf>
    <xf numFmtId="0" fontId="0" fillId="0" borderId="75" xfId="0" applyBorder="1" applyAlignment="1">
      <alignment vertical="center"/>
    </xf>
    <xf numFmtId="0" fontId="58" fillId="2" borderId="34" xfId="0" applyFont="1" applyFill="1" applyBorder="1" applyAlignment="1">
      <alignment horizontal="right"/>
    </xf>
    <xf numFmtId="0" fontId="58" fillId="2" borderId="0" xfId="0" applyFont="1" applyFill="1" applyAlignment="1">
      <alignment horizontal="right"/>
    </xf>
    <xf numFmtId="0" fontId="92" fillId="7" borderId="0" xfId="0" applyFont="1" applyFill="1"/>
    <xf numFmtId="0" fontId="3" fillId="7" borderId="34" xfId="0" applyFont="1" applyFill="1" applyBorder="1"/>
    <xf numFmtId="0" fontId="3" fillId="2" borderId="0" xfId="0" applyFont="1" applyFill="1"/>
    <xf numFmtId="0" fontId="3" fillId="2" borderId="37" xfId="0" applyFont="1" applyFill="1" applyBorder="1"/>
    <xf numFmtId="0" fontId="26" fillId="7" borderId="34" xfId="0" applyFont="1" applyFill="1" applyBorder="1" applyAlignment="1">
      <alignment vertical="center"/>
    </xf>
    <xf numFmtId="0" fontId="26" fillId="7" borderId="0" xfId="0" applyFont="1" applyFill="1" applyAlignment="1">
      <alignment vertical="center"/>
    </xf>
    <xf numFmtId="0" fontId="26" fillId="7" borderId="37" xfId="0" applyFont="1" applyFill="1" applyBorder="1" applyAlignment="1">
      <alignment vertical="center"/>
    </xf>
    <xf numFmtId="0" fontId="26" fillId="2" borderId="104" xfId="0" applyFont="1" applyFill="1" applyBorder="1" applyAlignment="1">
      <alignment horizontal="center" vertical="center"/>
    </xf>
    <xf numFmtId="0" fontId="11" fillId="7" borderId="105" xfId="0" applyFont="1" applyFill="1" applyBorder="1" applyAlignment="1">
      <alignment vertical="center"/>
    </xf>
    <xf numFmtId="4" fontId="53" fillId="2" borderId="104" xfId="0" applyNumberFormat="1" applyFont="1" applyFill="1" applyBorder="1" applyAlignment="1">
      <alignment vertical="center"/>
    </xf>
    <xf numFmtId="0" fontId="58" fillId="0" borderId="164" xfId="0" applyFont="1" applyBorder="1" applyAlignment="1">
      <alignment horizontal="center" vertical="center"/>
    </xf>
    <xf numFmtId="0" fontId="58" fillId="0" borderId="0" xfId="0" applyFont="1" applyAlignment="1">
      <alignment horizontal="center" vertical="center"/>
    </xf>
    <xf numFmtId="0" fontId="58" fillId="0" borderId="120" xfId="0" applyFont="1" applyBorder="1" applyAlignment="1">
      <alignment horizontal="center" vertical="center"/>
    </xf>
    <xf numFmtId="49" fontId="3" fillId="2" borderId="120" xfId="0" applyNumberFormat="1" applyFont="1" applyFill="1" applyBorder="1" applyAlignment="1">
      <alignment horizontal="center" vertical="center"/>
    </xf>
    <xf numFmtId="0" fontId="26" fillId="19" borderId="34" xfId="0" applyFont="1" applyFill="1" applyBorder="1" applyAlignment="1">
      <alignment vertical="center"/>
    </xf>
    <xf numFmtId="0" fontId="0" fillId="19" borderId="37" xfId="0" applyFill="1" applyBorder="1" applyAlignment="1">
      <alignment vertical="center"/>
    </xf>
    <xf numFmtId="3" fontId="2" fillId="7" borderId="119" xfId="0" applyNumberFormat="1" applyFont="1" applyFill="1" applyBorder="1" applyAlignment="1">
      <alignment vertical="center"/>
    </xf>
    <xf numFmtId="4" fontId="53" fillId="7" borderId="104" xfId="0" applyNumberFormat="1" applyFont="1" applyFill="1" applyBorder="1" applyAlignment="1">
      <alignment vertical="center"/>
    </xf>
    <xf numFmtId="3" fontId="11" fillId="7" borderId="111" xfId="0" applyNumberFormat="1" applyFont="1" applyFill="1" applyBorder="1" applyAlignment="1">
      <alignment vertical="center" wrapText="1"/>
    </xf>
    <xf numFmtId="0" fontId="0" fillId="0" borderId="85" xfId="0" applyBorder="1" applyAlignment="1">
      <alignment vertical="center" wrapText="1"/>
    </xf>
    <xf numFmtId="0" fontId="0" fillId="0" borderId="112" xfId="0" applyBorder="1" applyAlignment="1">
      <alignment vertical="center" wrapText="1"/>
    </xf>
    <xf numFmtId="0" fontId="0" fillId="0" borderId="113" xfId="0" applyBorder="1" applyAlignment="1">
      <alignment vertical="center" wrapText="1"/>
    </xf>
    <xf numFmtId="0" fontId="0" fillId="0" borderId="114" xfId="0" applyBorder="1" applyAlignment="1">
      <alignment vertical="center" wrapText="1"/>
    </xf>
    <xf numFmtId="0" fontId="0" fillId="0" borderId="115" xfId="0" applyBorder="1" applyAlignment="1">
      <alignment vertical="center" wrapText="1"/>
    </xf>
    <xf numFmtId="0" fontId="0" fillId="0" borderId="83" xfId="0" applyBorder="1" applyAlignment="1">
      <alignment vertical="center" wrapText="1"/>
    </xf>
    <xf numFmtId="0" fontId="0" fillId="0" borderId="116" xfId="0" applyBorder="1" applyAlignment="1">
      <alignment vertical="center" wrapText="1"/>
    </xf>
    <xf numFmtId="0" fontId="94" fillId="2" borderId="113" xfId="0" applyFont="1" applyFill="1" applyBorder="1" applyAlignment="1">
      <alignment vertical="center"/>
    </xf>
    <xf numFmtId="0" fontId="0" fillId="0" borderId="113" xfId="0" applyBorder="1" applyAlignment="1">
      <alignment vertical="center"/>
    </xf>
    <xf numFmtId="3" fontId="58" fillId="7" borderId="0" xfId="0" applyNumberFormat="1" applyFont="1" applyFill="1" applyAlignment="1">
      <alignment horizontal="center" vertical="center"/>
    </xf>
    <xf numFmtId="0" fontId="0" fillId="0" borderId="114" xfId="0" applyBorder="1" applyAlignment="1">
      <alignment vertical="center"/>
    </xf>
    <xf numFmtId="0" fontId="0" fillId="0" borderId="162" xfId="0" applyBorder="1" applyAlignment="1" applyProtection="1">
      <alignment vertical="center"/>
      <protection locked="0"/>
    </xf>
    <xf numFmtId="0" fontId="11" fillId="7" borderId="120" xfId="0" applyFont="1" applyFill="1" applyBorder="1" applyAlignment="1">
      <alignment vertical="center"/>
    </xf>
    <xf numFmtId="4" fontId="53" fillId="7" borderId="105" xfId="0" applyNumberFormat="1" applyFont="1" applyFill="1" applyBorder="1" applyAlignment="1" applyProtection="1">
      <alignment vertical="center"/>
      <protection locked="0"/>
    </xf>
    <xf numFmtId="4" fontId="53" fillId="7" borderId="106" xfId="0" applyNumberFormat="1" applyFont="1" applyFill="1" applyBorder="1" applyAlignment="1" applyProtection="1">
      <alignment vertical="center"/>
      <protection locked="0"/>
    </xf>
    <xf numFmtId="3" fontId="2" fillId="7" borderId="0" xfId="0" applyNumberFormat="1" applyFont="1" applyFill="1" applyAlignment="1">
      <alignment vertical="center"/>
    </xf>
    <xf numFmtId="3" fontId="2" fillId="7" borderId="120" xfId="0" applyNumberFormat="1" applyFont="1" applyFill="1" applyBorder="1" applyAlignment="1">
      <alignment vertical="center"/>
    </xf>
    <xf numFmtId="4" fontId="53" fillId="2" borderId="105" xfId="0" applyNumberFormat="1" applyFont="1" applyFill="1" applyBorder="1" applyAlignment="1">
      <alignment vertical="center"/>
    </xf>
    <xf numFmtId="4" fontId="53" fillId="2" borderId="106" xfId="0" applyNumberFormat="1" applyFont="1" applyFill="1" applyBorder="1" applyAlignment="1">
      <alignment vertical="center"/>
    </xf>
    <xf numFmtId="4" fontId="3" fillId="7" borderId="26" xfId="0" applyNumberFormat="1" applyFont="1" applyFill="1" applyBorder="1" applyAlignment="1">
      <alignment vertical="center"/>
    </xf>
    <xf numFmtId="0" fontId="36" fillId="7" borderId="121" xfId="0" applyFont="1" applyFill="1" applyBorder="1" applyAlignment="1">
      <alignment horizontal="center" vertical="center"/>
    </xf>
    <xf numFmtId="0" fontId="93" fillId="7" borderId="122" xfId="0" applyFont="1" applyFill="1" applyBorder="1" applyAlignment="1">
      <alignment horizontal="right" vertical="center"/>
    </xf>
    <xf numFmtId="0" fontId="3" fillId="2" borderId="122" xfId="0" applyFont="1" applyFill="1" applyBorder="1" applyAlignment="1">
      <alignment horizontal="right" vertical="center"/>
    </xf>
    <xf numFmtId="0" fontId="3" fillId="2" borderId="123" xfId="0" applyFont="1" applyFill="1" applyBorder="1" applyAlignment="1">
      <alignment horizontal="right" vertical="center"/>
    </xf>
    <xf numFmtId="0" fontId="36" fillId="7" borderId="119" xfId="0" applyFont="1" applyFill="1" applyBorder="1" applyAlignment="1">
      <alignment horizontal="center" vertical="center"/>
    </xf>
    <xf numFmtId="0" fontId="0" fillId="19" borderId="120" xfId="0" applyFill="1" applyBorder="1" applyAlignment="1">
      <alignment vertical="center"/>
    </xf>
    <xf numFmtId="0" fontId="0" fillId="0" borderId="119" xfId="0" applyBorder="1" applyAlignment="1">
      <alignment vertical="top" wrapText="1"/>
    </xf>
    <xf numFmtId="0" fontId="42" fillId="0" borderId="108" xfId="0" applyFont="1" applyBorder="1" applyAlignment="1">
      <alignment horizontal="right"/>
    </xf>
    <xf numFmtId="0" fontId="42" fillId="0" borderId="109" xfId="0" applyFont="1" applyBorder="1" applyAlignment="1">
      <alignment horizontal="right"/>
    </xf>
    <xf numFmtId="0" fontId="0" fillId="0" borderId="23" xfId="0" applyBorder="1" applyAlignment="1">
      <alignment vertical="center"/>
    </xf>
    <xf numFmtId="0" fontId="11" fillId="7" borderId="121" xfId="0" applyFont="1" applyFill="1" applyBorder="1" applyAlignment="1">
      <alignment vertical="center" wrapText="1"/>
    </xf>
    <xf numFmtId="0" fontId="0" fillId="0" borderId="122" xfId="0" applyBorder="1" applyAlignment="1">
      <alignment vertical="center" wrapText="1"/>
    </xf>
    <xf numFmtId="0" fontId="0" fillId="19" borderId="122" xfId="0" applyFill="1" applyBorder="1" applyAlignment="1">
      <alignment vertical="center" wrapText="1"/>
    </xf>
    <xf numFmtId="0" fontId="42" fillId="7" borderId="0" xfId="0" applyFont="1" applyFill="1" applyAlignment="1">
      <alignment horizontal="right" vertical="center"/>
    </xf>
    <xf numFmtId="0" fontId="42" fillId="0" borderId="120" xfId="0" applyFont="1" applyBorder="1" applyAlignment="1">
      <alignment horizontal="right" vertical="center"/>
    </xf>
    <xf numFmtId="0" fontId="58" fillId="7" borderId="164" xfId="0" applyFont="1" applyFill="1" applyBorder="1" applyAlignment="1">
      <alignment vertical="center" wrapText="1"/>
    </xf>
    <xf numFmtId="0" fontId="2" fillId="0" borderId="0" xfId="0" applyFont="1" applyAlignment="1">
      <alignment vertical="center" wrapText="1"/>
    </xf>
    <xf numFmtId="0" fontId="2" fillId="0" borderId="120" xfId="0" applyFont="1" applyBorder="1" applyAlignment="1">
      <alignment vertical="center" wrapText="1"/>
    </xf>
    <xf numFmtId="0" fontId="36" fillId="7" borderId="164" xfId="0" applyFont="1" applyFill="1" applyBorder="1" applyAlignment="1">
      <alignment vertical="center" wrapText="1"/>
    </xf>
    <xf numFmtId="0" fontId="70" fillId="0" borderId="0" xfId="0" applyFont="1" applyAlignment="1">
      <alignment vertical="center" wrapText="1"/>
    </xf>
    <xf numFmtId="0" fontId="70" fillId="0" borderId="120" xfId="0" applyFont="1" applyBorder="1" applyAlignment="1">
      <alignment vertical="center" wrapText="1"/>
    </xf>
    <xf numFmtId="0" fontId="26" fillId="7" borderId="164" xfId="0" applyFont="1" applyFill="1" applyBorder="1" applyAlignment="1">
      <alignment vertical="center"/>
    </xf>
    <xf numFmtId="0" fontId="0" fillId="0" borderId="164" xfId="0" applyBorder="1" applyAlignment="1">
      <alignment vertical="center"/>
    </xf>
    <xf numFmtId="0" fontId="11" fillId="2" borderId="42" xfId="0" applyFont="1" applyFill="1" applyBorder="1" applyAlignment="1">
      <alignment horizontal="left" vertical="center"/>
    </xf>
    <xf numFmtId="0" fontId="11" fillId="2" borderId="76" xfId="0" applyFont="1" applyFill="1" applyBorder="1" applyAlignment="1">
      <alignment horizontal="left" vertical="center"/>
    </xf>
    <xf numFmtId="0" fontId="3" fillId="2" borderId="108" xfId="0" applyFont="1" applyFill="1" applyBorder="1" applyAlignment="1">
      <alignment vertical="center"/>
    </xf>
    <xf numFmtId="0" fontId="11" fillId="7" borderId="0" xfId="0" applyFont="1" applyFill="1" applyAlignment="1">
      <alignment horizontal="right" vertical="center"/>
    </xf>
    <xf numFmtId="0" fontId="3" fillId="0" borderId="120" xfId="0" applyFont="1" applyBorder="1" applyAlignment="1">
      <alignment horizontal="right" vertical="center"/>
    </xf>
    <xf numFmtId="0" fontId="2" fillId="7" borderId="119" xfId="0" applyFont="1" applyFill="1" applyBorder="1" applyAlignment="1">
      <alignment vertical="center"/>
    </xf>
    <xf numFmtId="0" fontId="3" fillId="7" borderId="26" xfId="0" applyFont="1" applyFill="1" applyBorder="1" applyAlignment="1" applyProtection="1">
      <alignment horizontal="center" vertical="center"/>
      <protection locked="0"/>
    </xf>
    <xf numFmtId="0" fontId="3" fillId="7" borderId="71" xfId="0" applyFont="1" applyFill="1" applyBorder="1" applyAlignment="1" applyProtection="1">
      <alignment horizontal="center" vertical="center"/>
      <protection locked="0"/>
    </xf>
    <xf numFmtId="0" fontId="11" fillId="7" borderId="174" xfId="0" applyFont="1" applyFill="1" applyBorder="1" applyAlignment="1">
      <alignment horizontal="center"/>
    </xf>
    <xf numFmtId="0" fontId="11" fillId="7" borderId="175" xfId="0" applyFont="1" applyFill="1" applyBorder="1" applyAlignment="1">
      <alignment horizontal="center"/>
    </xf>
    <xf numFmtId="0" fontId="11" fillId="7" borderId="176" xfId="0" applyFont="1" applyFill="1" applyBorder="1" applyAlignment="1">
      <alignment horizontal="center"/>
    </xf>
    <xf numFmtId="0" fontId="11" fillId="7" borderId="164" xfId="0" applyFont="1" applyFill="1" applyBorder="1" applyAlignment="1">
      <alignment horizontal="center"/>
    </xf>
    <xf numFmtId="0" fontId="11" fillId="7" borderId="0" xfId="0" applyFont="1" applyFill="1" applyAlignment="1">
      <alignment horizontal="center"/>
    </xf>
    <xf numFmtId="0" fontId="11" fillId="7" borderId="120" xfId="0" applyFont="1" applyFill="1" applyBorder="1" applyAlignment="1">
      <alignment horizontal="center"/>
    </xf>
    <xf numFmtId="0" fontId="11" fillId="7" borderId="121" xfId="0" applyFont="1" applyFill="1" applyBorder="1" applyAlignment="1">
      <alignment horizontal="center"/>
    </xf>
    <xf numFmtId="0" fontId="11" fillId="7" borderId="122" xfId="0" applyFont="1" applyFill="1" applyBorder="1" applyAlignment="1">
      <alignment horizontal="center"/>
    </xf>
    <xf numFmtId="0" fontId="11" fillId="7" borderId="166" xfId="0" applyFont="1" applyFill="1" applyBorder="1" applyAlignment="1">
      <alignment horizontal="center"/>
    </xf>
    <xf numFmtId="0" fontId="94" fillId="7" borderId="0" xfId="0" applyFont="1" applyFill="1" applyAlignment="1">
      <alignment vertical="center"/>
    </xf>
    <xf numFmtId="0" fontId="2" fillId="7" borderId="107" xfId="0" applyFont="1" applyFill="1" applyBorder="1" applyAlignment="1">
      <alignment vertical="center"/>
    </xf>
    <xf numFmtId="0" fontId="77" fillId="7" borderId="0" xfId="0" applyFont="1" applyFill="1" applyAlignment="1">
      <alignment horizontal="center" vertical="center"/>
    </xf>
    <xf numFmtId="0" fontId="2" fillId="7" borderId="34" xfId="0" applyFont="1" applyFill="1" applyBorder="1" applyAlignment="1">
      <alignment vertical="center"/>
    </xf>
    <xf numFmtId="0" fontId="2" fillId="7" borderId="0" xfId="0" applyFont="1" applyFill="1" applyAlignment="1">
      <alignment vertical="center"/>
    </xf>
    <xf numFmtId="0" fontId="2" fillId="7" borderId="37" xfId="0" applyFont="1" applyFill="1" applyBorder="1" applyAlignment="1">
      <alignment vertical="center"/>
    </xf>
    <xf numFmtId="49" fontId="26" fillId="7" borderId="26" xfId="0" applyNumberFormat="1" applyFont="1" applyFill="1" applyBorder="1" applyAlignment="1" applyProtection="1">
      <alignment horizontal="center" vertical="center"/>
      <protection locked="0"/>
    </xf>
    <xf numFmtId="0" fontId="26" fillId="7" borderId="23" xfId="0" applyFont="1" applyFill="1" applyBorder="1" applyAlignment="1" applyProtection="1">
      <alignment horizontal="center" vertical="center"/>
      <protection locked="0"/>
    </xf>
    <xf numFmtId="0" fontId="26" fillId="7" borderId="71" xfId="0" applyFont="1" applyFill="1" applyBorder="1" applyAlignment="1" applyProtection="1">
      <alignment horizontal="center" vertical="center"/>
      <protection locked="0"/>
    </xf>
    <xf numFmtId="0" fontId="3" fillId="7" borderId="107" xfId="0" applyFont="1" applyFill="1" applyBorder="1"/>
    <xf numFmtId="0" fontId="0" fillId="0" borderId="108" xfId="0" applyBorder="1"/>
    <xf numFmtId="0" fontId="0" fillId="0" borderId="109" xfId="0" applyBorder="1"/>
    <xf numFmtId="0" fontId="81" fillId="7" borderId="164" xfId="0" applyFont="1" applyFill="1" applyBorder="1" applyAlignment="1">
      <alignment vertical="center"/>
    </xf>
    <xf numFmtId="4" fontId="3" fillId="7" borderId="161" xfId="0" applyNumberFormat="1" applyFont="1" applyFill="1" applyBorder="1" applyAlignment="1" applyProtection="1">
      <alignment vertical="center"/>
      <protection locked="0"/>
    </xf>
    <xf numFmtId="0" fontId="0" fillId="0" borderId="163" xfId="0" applyBorder="1" applyAlignment="1" applyProtection="1">
      <alignment vertical="center"/>
      <protection locked="0"/>
    </xf>
    <xf numFmtId="0" fontId="0" fillId="0" borderId="120" xfId="0" applyBorder="1" applyAlignment="1">
      <alignment horizontal="center" vertical="center"/>
    </xf>
    <xf numFmtId="1" fontId="53" fillId="7" borderId="0" xfId="0" applyNumberFormat="1" applyFont="1" applyFill="1" applyAlignment="1">
      <alignment horizontal="center" vertical="center"/>
    </xf>
    <xf numFmtId="0" fontId="3" fillId="7" borderId="37" xfId="0" applyFont="1" applyFill="1" applyBorder="1" applyAlignment="1">
      <alignment vertical="center"/>
    </xf>
    <xf numFmtId="0" fontId="0" fillId="19" borderId="164" xfId="0" applyFill="1" applyBorder="1" applyAlignment="1">
      <alignment vertical="center"/>
    </xf>
    <xf numFmtId="0" fontId="92" fillId="7" borderId="34" xfId="0" applyFont="1" applyFill="1" applyBorder="1" applyAlignment="1">
      <alignment vertical="center"/>
    </xf>
    <xf numFmtId="0" fontId="92" fillId="7" borderId="37" xfId="0" applyFont="1" applyFill="1" applyBorder="1" applyAlignment="1">
      <alignment vertical="center"/>
    </xf>
    <xf numFmtId="0" fontId="11" fillId="7" borderId="119" xfId="0" applyFont="1" applyFill="1" applyBorder="1" applyAlignment="1">
      <alignment vertical="center" wrapText="1"/>
    </xf>
    <xf numFmtId="0" fontId="0" fillId="0" borderId="37" xfId="0" applyBorder="1" applyAlignment="1">
      <alignment vertical="center" wrapText="1"/>
    </xf>
    <xf numFmtId="0" fontId="93" fillId="7" borderId="122" xfId="0" applyFont="1" applyFill="1" applyBorder="1" applyAlignment="1">
      <alignment horizontal="left" vertical="center"/>
    </xf>
    <xf numFmtId="0" fontId="3" fillId="2" borderId="122" xfId="0" applyFont="1" applyFill="1" applyBorder="1" applyAlignment="1">
      <alignment horizontal="left" vertical="center"/>
    </xf>
    <xf numFmtId="0" fontId="3" fillId="2" borderId="123" xfId="0" applyFont="1" applyFill="1" applyBorder="1"/>
    <xf numFmtId="0" fontId="36" fillId="7" borderId="47" xfId="0" applyFont="1" applyFill="1" applyBorder="1" applyAlignment="1">
      <alignment horizontal="center"/>
    </xf>
    <xf numFmtId="0" fontId="36" fillId="7" borderId="42" xfId="0" applyFont="1" applyFill="1" applyBorder="1" applyAlignment="1">
      <alignment horizontal="center"/>
    </xf>
    <xf numFmtId="0" fontId="80" fillId="2" borderId="0" xfId="0" applyFont="1" applyFill="1" applyAlignment="1">
      <alignment vertical="center"/>
    </xf>
    <xf numFmtId="0" fontId="11" fillId="7" borderId="0" xfId="0" applyFont="1" applyFill="1" applyAlignment="1">
      <alignment horizontal="left" vertical="center"/>
    </xf>
    <xf numFmtId="0" fontId="94" fillId="7" borderId="0" xfId="0" applyFont="1" applyFill="1" applyAlignment="1">
      <alignment horizontal="left" vertical="center"/>
    </xf>
    <xf numFmtId="0" fontId="94" fillId="7" borderId="37" xfId="0" applyFont="1" applyFill="1" applyBorder="1" applyAlignment="1">
      <alignment horizontal="left" vertical="center"/>
    </xf>
    <xf numFmtId="0" fontId="92" fillId="2" borderId="104" xfId="0" applyFont="1" applyFill="1"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106" xfId="0" applyBorder="1" applyAlignment="1" applyProtection="1">
      <alignment horizontal="center" vertical="center"/>
      <protection locked="0"/>
    </xf>
    <xf numFmtId="0" fontId="92" fillId="7" borderId="104" xfId="0" applyFont="1" applyFill="1" applyBorder="1" applyAlignment="1" applyProtection="1">
      <alignment horizontal="center" vertical="center"/>
      <protection locked="0"/>
    </xf>
    <xf numFmtId="0" fontId="11" fillId="7" borderId="25" xfId="0" applyFont="1" applyFill="1" applyBorder="1" applyAlignment="1">
      <alignment horizontal="left" vertical="center"/>
    </xf>
    <xf numFmtId="0" fontId="11" fillId="7" borderId="75" xfId="0" applyFont="1" applyFill="1" applyBorder="1" applyAlignment="1">
      <alignment horizontal="left" vertical="center"/>
    </xf>
    <xf numFmtId="0" fontId="26" fillId="7" borderId="26" xfId="0" applyFont="1" applyFill="1" applyBorder="1" applyAlignment="1">
      <alignment horizontal="center" vertical="center"/>
    </xf>
    <xf numFmtId="0" fontId="26" fillId="7" borderId="23" xfId="0" applyFont="1" applyFill="1" applyBorder="1" applyAlignment="1">
      <alignment horizontal="center" vertical="center"/>
    </xf>
    <xf numFmtId="0" fontId="26" fillId="7" borderId="71" xfId="0" applyFont="1" applyFill="1" applyBorder="1" applyAlignment="1">
      <alignment horizontal="center" vertical="center"/>
    </xf>
    <xf numFmtId="0" fontId="92" fillId="2" borderId="0" xfId="0" applyFont="1" applyFill="1" applyAlignment="1">
      <alignment vertical="center"/>
    </xf>
    <xf numFmtId="0" fontId="26" fillId="2" borderId="0" xfId="0" applyFont="1" applyFill="1" applyAlignment="1">
      <alignment vertical="center"/>
    </xf>
    <xf numFmtId="14" fontId="26" fillId="7" borderId="26" xfId="0" applyNumberFormat="1" applyFont="1" applyFill="1" applyBorder="1" applyAlignment="1">
      <alignment horizontal="center" vertical="center"/>
    </xf>
    <xf numFmtId="14" fontId="92" fillId="7" borderId="26" xfId="0" applyNumberFormat="1" applyFont="1" applyFill="1" applyBorder="1" applyAlignment="1" applyProtection="1">
      <alignment horizontal="center" vertical="center"/>
      <protection locked="0"/>
    </xf>
    <xf numFmtId="0" fontId="92" fillId="7" borderId="23" xfId="0" applyFont="1" applyFill="1" applyBorder="1" applyAlignment="1" applyProtection="1">
      <alignment horizontal="center" vertical="center"/>
      <protection locked="0"/>
    </xf>
    <xf numFmtId="0" fontId="92" fillId="7" borderId="71" xfId="0" applyFont="1" applyFill="1" applyBorder="1" applyAlignment="1" applyProtection="1">
      <alignment horizontal="center" vertical="center"/>
      <protection locked="0"/>
    </xf>
    <xf numFmtId="0" fontId="3" fillId="2" borderId="137" xfId="0" applyFont="1" applyFill="1" applyBorder="1" applyAlignment="1" applyProtection="1">
      <alignment horizontal="left" vertical="center"/>
      <protection locked="0"/>
    </xf>
    <xf numFmtId="0" fontId="3" fillId="2" borderId="71" xfId="0" applyFont="1" applyFill="1" applyBorder="1" applyAlignment="1" applyProtection="1">
      <alignment horizontal="left" vertical="center"/>
      <protection locked="0"/>
    </xf>
    <xf numFmtId="0" fontId="3" fillId="7" borderId="137" xfId="0" applyFont="1" applyFill="1" applyBorder="1" applyAlignment="1" applyProtection="1">
      <alignment horizontal="left" vertical="center"/>
      <protection locked="0"/>
    </xf>
    <xf numFmtId="0" fontId="92" fillId="7" borderId="107" xfId="0" applyFont="1" applyFill="1" applyBorder="1" applyAlignment="1">
      <alignment vertical="center"/>
    </xf>
    <xf numFmtId="0" fontId="92" fillId="7" borderId="108" xfId="0" applyFont="1" applyFill="1" applyBorder="1" applyAlignment="1">
      <alignment vertical="center"/>
    </xf>
    <xf numFmtId="0" fontId="92" fillId="7" borderId="109" xfId="0" applyFont="1" applyFill="1" applyBorder="1" applyAlignment="1">
      <alignment vertical="center"/>
    </xf>
    <xf numFmtId="0" fontId="92" fillId="7" borderId="104" xfId="0" applyFont="1" applyFill="1" applyBorder="1" applyAlignment="1" applyProtection="1">
      <alignment vertical="center" wrapText="1"/>
      <protection locked="0"/>
    </xf>
    <xf numFmtId="0" fontId="0" fillId="0" borderId="105" xfId="0" applyBorder="1" applyAlignment="1" applyProtection="1">
      <alignment vertical="center" wrapText="1"/>
      <protection locked="0"/>
    </xf>
    <xf numFmtId="0" fontId="0" fillId="0" borderId="106" xfId="0" applyBorder="1" applyAlignment="1" applyProtection="1">
      <alignment vertical="center" wrapText="1"/>
      <protection locked="0"/>
    </xf>
    <xf numFmtId="0" fontId="11" fillId="7" borderId="121" xfId="0" applyFont="1" applyFill="1" applyBorder="1" applyAlignment="1">
      <alignment vertical="center"/>
    </xf>
    <xf numFmtId="0" fontId="4" fillId="7" borderId="0" xfId="0" applyFont="1" applyFill="1" applyAlignment="1">
      <alignment horizontal="center" vertical="center"/>
    </xf>
    <xf numFmtId="0" fontId="94" fillId="7" borderId="42" xfId="0" applyFont="1" applyFill="1" applyBorder="1" applyAlignment="1">
      <alignment horizontal="left" vertical="center"/>
    </xf>
    <xf numFmtId="0" fontId="80" fillId="0" borderId="42" xfId="0" applyFont="1" applyBorder="1" applyAlignment="1">
      <alignment horizontal="left"/>
    </xf>
    <xf numFmtId="0" fontId="3" fillId="2" borderId="26" xfId="0" applyFont="1" applyFill="1" applyBorder="1" applyAlignment="1">
      <alignment horizontal="center"/>
    </xf>
    <xf numFmtId="0" fontId="0" fillId="0" borderId="23" xfId="0" applyBorder="1" applyAlignment="1">
      <alignment horizontal="center"/>
    </xf>
    <xf numFmtId="0" fontId="2" fillId="7" borderId="104" xfId="0" applyFont="1" applyFill="1" applyBorder="1" applyAlignment="1">
      <alignment vertical="center"/>
    </xf>
    <xf numFmtId="0" fontId="26" fillId="2" borderId="0" xfId="0" applyFont="1" applyFill="1"/>
    <xf numFmtId="0" fontId="92" fillId="2" borderId="0" xfId="0" applyFont="1" applyFill="1"/>
    <xf numFmtId="0" fontId="58" fillId="0" borderId="0" xfId="0" applyFont="1" applyAlignment="1">
      <alignment horizontal="right"/>
    </xf>
    <xf numFmtId="0" fontId="3" fillId="7" borderId="0" xfId="0" applyFont="1" applyFill="1"/>
    <xf numFmtId="0" fontId="94" fillId="7" borderId="47" xfId="0" applyFont="1" applyFill="1" applyBorder="1" applyAlignment="1">
      <alignment vertical="center"/>
    </xf>
    <xf numFmtId="0" fontId="94" fillId="7" borderId="42" xfId="0" applyFont="1" applyFill="1" applyBorder="1" applyAlignment="1">
      <alignment vertical="center"/>
    </xf>
    <xf numFmtId="0" fontId="2" fillId="7" borderId="0" xfId="0" applyFont="1" applyFill="1" applyAlignment="1">
      <alignment horizontal="center" vertical="center"/>
    </xf>
    <xf numFmtId="0" fontId="2" fillId="7" borderId="37" xfId="0" applyFont="1" applyFill="1" applyBorder="1" applyAlignment="1">
      <alignment horizontal="center" vertical="center"/>
    </xf>
    <xf numFmtId="0" fontId="80" fillId="2" borderId="120" xfId="0" applyFont="1" applyFill="1" applyBorder="1" applyAlignment="1">
      <alignment vertical="center"/>
    </xf>
    <xf numFmtId="49" fontId="26" fillId="7" borderId="23" xfId="0" applyNumberFormat="1" applyFont="1" applyFill="1" applyBorder="1" applyAlignment="1" applyProtection="1">
      <alignment horizontal="center" vertical="center"/>
      <protection locked="0"/>
    </xf>
    <xf numFmtId="49" fontId="26" fillId="2" borderId="23" xfId="0" applyNumberFormat="1" applyFont="1" applyFill="1" applyBorder="1" applyAlignment="1" applyProtection="1">
      <alignment horizontal="center" vertical="center"/>
      <protection locked="0"/>
    </xf>
    <xf numFmtId="49" fontId="26" fillId="2" borderId="71" xfId="0" applyNumberFormat="1" applyFont="1" applyFill="1" applyBorder="1" applyAlignment="1" applyProtection="1">
      <alignment horizontal="center" vertical="center"/>
      <protection locked="0"/>
    </xf>
    <xf numFmtId="0" fontId="26" fillId="7" borderId="26" xfId="0" applyFont="1" applyFill="1" applyBorder="1" applyAlignment="1" applyProtection="1">
      <alignment horizontal="center" vertical="center"/>
      <protection locked="0"/>
    </xf>
    <xf numFmtId="0" fontId="3" fillId="7" borderId="104" xfId="0" applyFont="1" applyFill="1" applyBorder="1" applyAlignment="1" applyProtection="1">
      <alignment horizontal="left" vertical="center"/>
      <protection locked="0"/>
    </xf>
    <xf numFmtId="0" fontId="3" fillId="7" borderId="105" xfId="0" applyFont="1" applyFill="1" applyBorder="1" applyAlignment="1" applyProtection="1">
      <alignment horizontal="left" vertical="center"/>
      <protection locked="0"/>
    </xf>
    <xf numFmtId="0" fontId="3" fillId="2" borderId="104" xfId="0" applyFont="1" applyFill="1" applyBorder="1" applyAlignment="1" applyProtection="1">
      <alignment horizontal="center" vertical="center"/>
      <protection locked="0"/>
    </xf>
    <xf numFmtId="0" fontId="0" fillId="0" borderId="104" xfId="0" applyBorder="1" applyAlignment="1" applyProtection="1">
      <alignment vertical="center"/>
      <protection locked="0"/>
    </xf>
    <xf numFmtId="0" fontId="3" fillId="7" borderId="23" xfId="0" applyFont="1" applyFill="1" applyBorder="1" applyAlignment="1" applyProtection="1">
      <alignment horizontal="center" vertical="center"/>
      <protection locked="0"/>
    </xf>
    <xf numFmtId="14" fontId="3" fillId="7" borderId="104" xfId="0" applyNumberFormat="1" applyFont="1" applyFill="1" applyBorder="1" applyAlignment="1" applyProtection="1">
      <alignment horizontal="center" vertical="center"/>
      <protection locked="0"/>
    </xf>
    <xf numFmtId="0" fontId="3" fillId="0" borderId="104" xfId="0" applyFont="1" applyBorder="1" applyAlignment="1" applyProtection="1">
      <alignment vertical="center"/>
      <protection locked="0"/>
    </xf>
    <xf numFmtId="0" fontId="0" fillId="0" borderId="120" xfId="0" applyBorder="1" applyAlignment="1">
      <alignment vertical="center" wrapText="1"/>
    </xf>
    <xf numFmtId="14" fontId="0" fillId="0" borderId="26" xfId="0" applyNumberFormat="1"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92" fillId="7" borderId="119" xfId="0" applyFont="1" applyFill="1" applyBorder="1" applyAlignment="1">
      <alignment vertical="center"/>
    </xf>
    <xf numFmtId="0" fontId="92" fillId="7" borderId="120" xfId="0" applyFont="1" applyFill="1" applyBorder="1" applyAlignment="1">
      <alignment vertical="center"/>
    </xf>
    <xf numFmtId="0" fontId="11" fillId="7" borderId="107" xfId="0" applyFont="1" applyFill="1" applyBorder="1" applyAlignment="1">
      <alignment horizontal="left" vertical="center" wrapText="1"/>
    </xf>
    <xf numFmtId="0" fontId="0" fillId="0" borderId="108" xfId="0" applyBorder="1" applyAlignment="1">
      <alignment horizontal="left" vertical="center" wrapText="1"/>
    </xf>
    <xf numFmtId="0" fontId="11" fillId="7" borderId="108" xfId="0" applyFont="1" applyFill="1" applyBorder="1" applyAlignment="1">
      <alignment horizontal="left" vertical="center"/>
    </xf>
    <xf numFmtId="0" fontId="0" fillId="0" borderId="108" xfId="0" applyBorder="1" applyAlignment="1">
      <alignment horizontal="left" vertical="center"/>
    </xf>
    <xf numFmtId="0" fontId="0" fillId="0" borderId="109" xfId="0" applyBorder="1" applyAlignment="1">
      <alignment horizontal="left" vertical="center"/>
    </xf>
    <xf numFmtId="0" fontId="11" fillId="7" borderId="74" xfId="0" applyFont="1" applyFill="1" applyBorder="1" applyAlignment="1">
      <alignment vertical="center" wrapText="1"/>
    </xf>
    <xf numFmtId="0" fontId="0" fillId="0" borderId="25" xfId="0" applyBorder="1" applyAlignment="1">
      <alignment vertical="center" wrapText="1"/>
    </xf>
    <xf numFmtId="0" fontId="0" fillId="0" borderId="75" xfId="0" applyBorder="1" applyAlignment="1">
      <alignment vertical="center" wrapText="1"/>
    </xf>
    <xf numFmtId="0" fontId="77" fillId="7" borderId="0" xfId="0" applyFont="1" applyFill="1" applyAlignment="1">
      <alignment vertical="center"/>
    </xf>
    <xf numFmtId="3" fontId="92" fillId="7" borderId="26" xfId="0" applyNumberFormat="1" applyFont="1" applyFill="1" applyBorder="1" applyAlignment="1" applyProtection="1">
      <alignment horizontal="left" vertical="center"/>
      <protection locked="0"/>
    </xf>
    <xf numFmtId="3" fontId="92" fillId="7" borderId="23" xfId="0" applyNumberFormat="1" applyFont="1" applyFill="1" applyBorder="1" applyAlignment="1" applyProtection="1">
      <alignment horizontal="left" vertical="center"/>
      <protection locked="0"/>
    </xf>
    <xf numFmtId="3" fontId="92" fillId="7" borderId="71" xfId="0" applyNumberFormat="1" applyFont="1" applyFill="1" applyBorder="1" applyAlignment="1" applyProtection="1">
      <alignment horizontal="left" vertical="center"/>
      <protection locked="0"/>
    </xf>
    <xf numFmtId="0" fontId="92" fillId="7" borderId="26" xfId="0" applyFont="1" applyFill="1" applyBorder="1" applyAlignment="1" applyProtection="1">
      <alignment horizontal="center" vertical="center"/>
      <protection locked="0"/>
    </xf>
    <xf numFmtId="0" fontId="92" fillId="2" borderId="23" xfId="0" applyFont="1" applyFill="1" applyBorder="1" applyAlignment="1" applyProtection="1">
      <alignment horizontal="center" vertical="center"/>
      <protection locked="0"/>
    </xf>
    <xf numFmtId="0" fontId="92" fillId="2" borderId="71" xfId="0" applyFont="1" applyFill="1" applyBorder="1" applyAlignment="1" applyProtection="1">
      <alignment horizontal="center" vertical="center"/>
      <protection locked="0"/>
    </xf>
    <xf numFmtId="0" fontId="92" fillId="7" borderId="26" xfId="0" applyFont="1" applyFill="1" applyBorder="1" applyAlignment="1" applyProtection="1">
      <alignment horizontal="left" vertical="center"/>
      <protection locked="0"/>
    </xf>
    <xf numFmtId="0" fontId="92" fillId="2" borderId="23" xfId="0" applyFont="1" applyFill="1" applyBorder="1" applyAlignment="1" applyProtection="1">
      <alignment horizontal="left" vertical="center"/>
      <protection locked="0"/>
    </xf>
    <xf numFmtId="0" fontId="92" fillId="2" borderId="71" xfId="0" applyFont="1" applyFill="1" applyBorder="1" applyAlignment="1" applyProtection="1">
      <alignment horizontal="left" vertical="center"/>
      <protection locked="0"/>
    </xf>
    <xf numFmtId="3" fontId="3" fillId="7" borderId="26" xfId="0" applyNumberFormat="1" applyFont="1" applyFill="1" applyBorder="1" applyAlignment="1" applyProtection="1">
      <alignment horizontal="left" vertical="center"/>
      <protection locked="0"/>
    </xf>
    <xf numFmtId="3" fontId="3" fillId="7" borderId="137" xfId="0" applyNumberFormat="1" applyFont="1" applyFill="1" applyBorder="1" applyAlignment="1" applyProtection="1">
      <alignment horizontal="left" vertical="center"/>
      <protection locked="0"/>
    </xf>
    <xf numFmtId="3" fontId="3" fillId="7" borderId="71" xfId="0" applyNumberFormat="1" applyFont="1" applyFill="1" applyBorder="1" applyAlignment="1" applyProtection="1">
      <alignment horizontal="left" vertical="center"/>
      <protection locked="0"/>
    </xf>
    <xf numFmtId="0" fontId="26" fillId="7" borderId="47" xfId="0" applyFont="1" applyFill="1" applyBorder="1" applyAlignment="1">
      <alignment vertical="center"/>
    </xf>
    <xf numFmtId="0" fontId="26" fillId="7" borderId="122" xfId="0" applyFont="1" applyFill="1" applyBorder="1" applyAlignment="1">
      <alignment vertical="center"/>
    </xf>
    <xf numFmtId="0" fontId="0" fillId="0" borderId="166" xfId="0" applyBorder="1" applyAlignment="1">
      <alignment vertical="center"/>
    </xf>
    <xf numFmtId="0" fontId="11" fillId="0" borderId="0" xfId="0" applyFont="1" applyAlignment="1">
      <alignment horizontal="right" vertical="center"/>
    </xf>
    <xf numFmtId="0" fontId="11" fillId="0" borderId="120" xfId="0" applyFont="1" applyBorder="1" applyAlignment="1">
      <alignment horizontal="right" vertical="center"/>
    </xf>
    <xf numFmtId="0" fontId="11" fillId="7" borderId="164" xfId="0" applyFont="1" applyFill="1" applyBorder="1" applyAlignment="1">
      <alignment horizontal="left" vertical="center" wrapText="1"/>
    </xf>
    <xf numFmtId="0" fontId="11" fillId="7" borderId="19" xfId="0" applyFont="1" applyFill="1" applyBorder="1" applyAlignment="1">
      <alignment vertical="center"/>
    </xf>
    <xf numFmtId="168" fontId="16" fillId="7" borderId="16" xfId="0" applyNumberFormat="1" applyFont="1" applyFill="1" applyBorder="1" applyAlignment="1" applyProtection="1">
      <alignment vertical="center"/>
      <protection locked="0"/>
    </xf>
    <xf numFmtId="168" fontId="0" fillId="0" borderId="20" xfId="0" applyNumberFormat="1" applyBorder="1" applyAlignment="1">
      <alignment vertical="center"/>
    </xf>
    <xf numFmtId="168" fontId="0" fillId="0" borderId="18" xfId="0" applyNumberFormat="1" applyBorder="1" applyAlignment="1">
      <alignment vertical="center"/>
    </xf>
    <xf numFmtId="0" fontId="11" fillId="7" borderId="19" xfId="0" applyFont="1" applyFill="1" applyBorder="1" applyAlignment="1">
      <alignment horizontal="right" vertical="center"/>
    </xf>
    <xf numFmtId="0" fontId="2" fillId="19" borderId="108" xfId="0" applyFont="1" applyFill="1" applyBorder="1" applyAlignment="1">
      <alignment vertical="center" wrapText="1"/>
    </xf>
    <xf numFmtId="0" fontId="2" fillId="0" borderId="108" xfId="0" applyFont="1" applyBorder="1" applyAlignment="1">
      <alignment vertical="center" wrapText="1"/>
    </xf>
    <xf numFmtId="0" fontId="0" fillId="19" borderId="121" xfId="0" applyFill="1" applyBorder="1" applyAlignment="1">
      <alignment vertical="center"/>
    </xf>
    <xf numFmtId="0" fontId="11" fillId="19" borderId="122" xfId="0" applyFont="1" applyFill="1" applyBorder="1" applyAlignment="1">
      <alignment horizontal="center" vertical="center"/>
    </xf>
    <xf numFmtId="0" fontId="11" fillId="0" borderId="122" xfId="0" applyFont="1" applyBorder="1" applyAlignment="1">
      <alignment horizontal="center" vertical="center"/>
    </xf>
    <xf numFmtId="0" fontId="11" fillId="0" borderId="123" xfId="0" applyFont="1" applyBorder="1" applyAlignment="1">
      <alignment horizontal="center" vertical="center"/>
    </xf>
    <xf numFmtId="0" fontId="42" fillId="19" borderId="0" xfId="0" applyFont="1" applyFill="1" applyAlignment="1">
      <alignment vertical="center"/>
    </xf>
    <xf numFmtId="0" fontId="2" fillId="19" borderId="107" xfId="0" applyFont="1" applyFill="1" applyBorder="1" applyAlignment="1">
      <alignment vertical="center"/>
    </xf>
    <xf numFmtId="0" fontId="2" fillId="0" borderId="108" xfId="0" applyFont="1" applyBorder="1" applyAlignment="1">
      <alignment vertical="center"/>
    </xf>
    <xf numFmtId="0" fontId="2" fillId="0" borderId="109" xfId="0" applyFont="1" applyBorder="1" applyAlignment="1">
      <alignment vertical="center"/>
    </xf>
    <xf numFmtId="14" fontId="0" fillId="19" borderId="83" xfId="0" applyNumberFormat="1" applyFill="1"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19" borderId="0" xfId="0" applyFill="1" applyAlignment="1" applyProtection="1">
      <alignment vertical="center"/>
      <protection locked="0"/>
    </xf>
    <xf numFmtId="0" fontId="0" fillId="0" borderId="0" xfId="0" applyAlignment="1" applyProtection="1">
      <alignment vertical="center"/>
      <protection locked="0"/>
    </xf>
    <xf numFmtId="0" fontId="0" fillId="0" borderId="83" xfId="0" applyBorder="1" applyAlignment="1" applyProtection="1">
      <alignment vertical="center"/>
      <protection locked="0"/>
    </xf>
    <xf numFmtId="0" fontId="42" fillId="19" borderId="85" xfId="0" applyFont="1" applyFill="1" applyBorder="1" applyAlignment="1">
      <alignment horizontal="center" vertical="center"/>
    </xf>
    <xf numFmtId="0" fontId="0" fillId="0" borderId="85" xfId="0" applyBorder="1" applyAlignment="1">
      <alignment horizontal="center" vertical="center"/>
    </xf>
    <xf numFmtId="0" fontId="0" fillId="19" borderId="119" xfId="0" applyFill="1" applyBorder="1" applyAlignment="1">
      <alignment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49" fontId="58" fillId="19" borderId="0" xfId="0" applyNumberFormat="1" applyFont="1" applyFill="1" applyAlignment="1">
      <alignment horizontal="center" vertical="center"/>
    </xf>
    <xf numFmtId="49" fontId="0" fillId="0" borderId="0" xfId="0" applyNumberFormat="1" applyAlignment="1">
      <alignment vertical="center"/>
    </xf>
    <xf numFmtId="0" fontId="3" fillId="19" borderId="104" xfId="0" applyFont="1" applyFill="1" applyBorder="1" applyAlignment="1">
      <alignment vertical="center"/>
    </xf>
    <xf numFmtId="0" fontId="42" fillId="19" borderId="122" xfId="0" applyFont="1" applyFill="1" applyBorder="1" applyAlignment="1">
      <alignment vertical="center"/>
    </xf>
    <xf numFmtId="0" fontId="42" fillId="0" borderId="122" xfId="0" applyFont="1" applyBorder="1" applyAlignment="1">
      <alignment vertical="center"/>
    </xf>
    <xf numFmtId="0" fontId="0" fillId="19" borderId="104" xfId="0" applyFill="1" applyBorder="1" applyAlignment="1" applyProtection="1">
      <alignment vertical="center"/>
      <protection locked="0"/>
    </xf>
    <xf numFmtId="14" fontId="0" fillId="19" borderId="104" xfId="0" applyNumberFormat="1" applyFill="1" applyBorder="1" applyAlignment="1" applyProtection="1">
      <alignment horizontal="center" vertical="center"/>
      <protection locked="0"/>
    </xf>
    <xf numFmtId="0" fontId="0" fillId="19" borderId="104" xfId="0" applyFill="1" applyBorder="1" applyAlignment="1">
      <alignment horizontal="center" vertical="center"/>
    </xf>
    <xf numFmtId="0" fontId="81" fillId="19" borderId="0" xfId="0" applyFont="1" applyFill="1" applyAlignment="1">
      <alignment wrapText="1"/>
    </xf>
    <xf numFmtId="0" fontId="81" fillId="0" borderId="0" xfId="0" applyFont="1" applyAlignment="1">
      <alignment wrapText="1"/>
    </xf>
    <xf numFmtId="0" fontId="0" fillId="19" borderId="104" xfId="0" applyFill="1" applyBorder="1" applyAlignment="1">
      <alignment horizontal="left" vertical="center"/>
    </xf>
    <xf numFmtId="0" fontId="0" fillId="19" borderId="107" xfId="0" applyFill="1" applyBorder="1" applyAlignment="1">
      <alignment vertical="center"/>
    </xf>
    <xf numFmtId="0" fontId="0" fillId="0" borderId="121" xfId="0" applyBorder="1" applyAlignment="1">
      <alignment vertical="center"/>
    </xf>
    <xf numFmtId="0" fontId="81" fillId="19" borderId="122" xfId="0" applyFont="1" applyFill="1" applyBorder="1" applyAlignment="1">
      <alignment horizontal="center"/>
    </xf>
    <xf numFmtId="0" fontId="81" fillId="0" borderId="122" xfId="0" applyFont="1" applyBorder="1" applyAlignment="1">
      <alignment horizontal="center"/>
    </xf>
    <xf numFmtId="1" fontId="0" fillId="19" borderId="104" xfId="0" applyNumberFormat="1" applyFill="1" applyBorder="1" applyAlignment="1">
      <alignment horizontal="center" vertical="center"/>
    </xf>
    <xf numFmtId="0" fontId="81" fillId="19" borderId="122" xfId="0" applyFont="1" applyFill="1" applyBorder="1" applyAlignment="1">
      <alignment wrapText="1"/>
    </xf>
    <xf numFmtId="0" fontId="81" fillId="0" borderId="122" xfId="0" applyFont="1" applyBorder="1" applyAlignment="1">
      <alignment wrapText="1"/>
    </xf>
    <xf numFmtId="0" fontId="11" fillId="19" borderId="117" xfId="0" applyFont="1" applyFill="1" applyBorder="1" applyAlignment="1">
      <alignment horizontal="center" vertical="center"/>
    </xf>
    <xf numFmtId="0" fontId="11" fillId="19" borderId="118" xfId="0" applyFont="1" applyFill="1" applyBorder="1" applyAlignment="1">
      <alignment horizontal="center" vertical="center"/>
    </xf>
    <xf numFmtId="0" fontId="74" fillId="19" borderId="0" xfId="0" applyFont="1" applyFill="1" applyAlignment="1">
      <alignment horizontal="center" vertical="center"/>
    </xf>
    <xf numFmtId="0" fontId="74" fillId="0" borderId="0" xfId="0" applyFont="1" applyAlignment="1">
      <alignment horizontal="center" vertical="center"/>
    </xf>
    <xf numFmtId="0" fontId="4" fillId="19" borderId="0" xfId="0" applyFont="1" applyFill="1" applyAlignment="1">
      <alignment horizontal="center" vertical="center"/>
    </xf>
    <xf numFmtId="0" fontId="4" fillId="0" borderId="0" xfId="0" applyFont="1" applyAlignment="1">
      <alignment horizontal="center" vertical="center"/>
    </xf>
    <xf numFmtId="14" fontId="2" fillId="0" borderId="104" xfId="0" applyNumberFormat="1"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42" fillId="0" borderId="119" xfId="0" applyFont="1" applyBorder="1" applyAlignment="1">
      <alignment vertical="center"/>
    </xf>
    <xf numFmtId="0" fontId="42" fillId="0" borderId="119" xfId="0" applyFont="1" applyBorder="1" applyAlignment="1">
      <alignment horizontal="left" vertical="center"/>
    </xf>
    <xf numFmtId="0" fontId="89" fillId="19" borderId="0" xfId="0" applyFont="1" applyFill="1" applyAlignment="1">
      <alignment horizontal="center" vertical="center"/>
    </xf>
    <xf numFmtId="0" fontId="89" fillId="0" borderId="0" xfId="0" applyFont="1" applyAlignment="1">
      <alignment horizontal="center" vertical="center"/>
    </xf>
    <xf numFmtId="0" fontId="42" fillId="19" borderId="0" xfId="11" applyFont="1" applyFill="1" applyAlignment="1">
      <alignment horizontal="center"/>
    </xf>
    <xf numFmtId="0" fontId="11" fillId="19" borderId="0" xfId="11" applyFont="1" applyFill="1" applyAlignment="1">
      <alignment horizontal="left" wrapText="1"/>
    </xf>
    <xf numFmtId="0" fontId="11" fillId="19" borderId="0" xfId="11" applyFont="1" applyFill="1" applyAlignment="1">
      <alignment horizontal="center"/>
    </xf>
    <xf numFmtId="0" fontId="42" fillId="19" borderId="0" xfId="11" applyFont="1" applyFill="1" applyAlignment="1">
      <alignment horizontal="left" vertical="center"/>
    </xf>
    <xf numFmtId="49" fontId="2" fillId="19" borderId="83" xfId="11" applyNumberFormat="1" applyFont="1" applyFill="1" applyBorder="1" applyAlignment="1" applyProtection="1">
      <alignment horizontal="center" vertical="center"/>
      <protection locked="0"/>
    </xf>
    <xf numFmtId="167" fontId="2" fillId="19" borderId="83" xfId="11" applyNumberFormat="1" applyFont="1" applyFill="1" applyBorder="1" applyAlignment="1" applyProtection="1">
      <alignment horizontal="center" vertical="center"/>
      <protection locked="0"/>
    </xf>
    <xf numFmtId="0" fontId="11" fillId="19" borderId="85" xfId="11" applyFont="1" applyFill="1" applyBorder="1" applyAlignment="1">
      <alignment horizontal="center"/>
    </xf>
    <xf numFmtId="4" fontId="2" fillId="19" borderId="83" xfId="11" applyNumberFormat="1" applyFont="1" applyFill="1" applyBorder="1" applyAlignment="1" applyProtection="1">
      <alignment horizontal="center" vertical="center"/>
      <protection locked="0"/>
    </xf>
    <xf numFmtId="4" fontId="42" fillId="19" borderId="0" xfId="11" applyNumberFormat="1" applyFont="1" applyFill="1" applyAlignment="1">
      <alignment horizontal="center" vertical="center"/>
    </xf>
    <xf numFmtId="3" fontId="42" fillId="19" borderId="0" xfId="11" applyNumberFormat="1" applyFont="1" applyFill="1" applyAlignment="1">
      <alignment horizontal="center"/>
    </xf>
    <xf numFmtId="14" fontId="81" fillId="19" borderId="83" xfId="11" applyNumberFormat="1" applyFont="1" applyFill="1" applyBorder="1" applyAlignment="1" applyProtection="1">
      <alignment horizontal="center" vertical="center"/>
      <protection locked="0"/>
    </xf>
    <xf numFmtId="0" fontId="81" fillId="19" borderId="83" xfId="11" applyFont="1" applyFill="1" applyBorder="1" applyAlignment="1">
      <alignment horizontal="center" vertical="center"/>
    </xf>
    <xf numFmtId="0" fontId="42" fillId="19" borderId="0" xfId="11" applyFont="1" applyFill="1" applyAlignment="1" applyProtection="1">
      <alignment horizontal="left" vertical="center"/>
      <protection locked="0"/>
    </xf>
    <xf numFmtId="0" fontId="42" fillId="19" borderId="0" xfId="11" applyFont="1" applyFill="1" applyAlignment="1">
      <alignment horizontal="center" vertical="center"/>
    </xf>
    <xf numFmtId="0" fontId="2" fillId="19" borderId="83" xfId="11" applyFont="1" applyFill="1" applyBorder="1" applyAlignment="1">
      <alignment horizontal="center" vertical="center"/>
    </xf>
    <xf numFmtId="0" fontId="3" fillId="0" borderId="83" xfId="10" applyBorder="1" applyAlignment="1">
      <alignment vertical="center"/>
    </xf>
    <xf numFmtId="0" fontId="2" fillId="19" borderId="104" xfId="11" applyFont="1" applyFill="1" applyBorder="1" applyAlignment="1">
      <alignment horizontal="center" vertical="center"/>
    </xf>
    <xf numFmtId="0" fontId="2" fillId="19" borderId="106" xfId="11" applyFont="1" applyFill="1" applyBorder="1" applyAlignment="1">
      <alignment horizontal="center" vertical="center"/>
    </xf>
    <xf numFmtId="0" fontId="3" fillId="0" borderId="85" xfId="10" applyBorder="1" applyAlignment="1">
      <alignment horizontal="center"/>
    </xf>
    <xf numFmtId="0" fontId="3" fillId="0" borderId="0" xfId="10" applyAlignment="1">
      <alignment horizontal="center"/>
    </xf>
    <xf numFmtId="0" fontId="2" fillId="19" borderId="83" xfId="11" applyFont="1" applyFill="1" applyBorder="1" applyAlignment="1" applyProtection="1">
      <alignment horizontal="center" vertical="center"/>
      <protection locked="0"/>
    </xf>
    <xf numFmtId="1" fontId="74" fillId="19" borderId="83" xfId="11" applyNumberFormat="1" applyFont="1" applyFill="1" applyBorder="1" applyAlignment="1">
      <alignment horizontal="center" vertical="center"/>
    </xf>
    <xf numFmtId="0" fontId="135" fillId="19" borderId="0" xfId="11" applyFont="1" applyFill="1" applyAlignment="1">
      <alignment horizontal="center" vertical="top"/>
    </xf>
    <xf numFmtId="0" fontId="75" fillId="19" borderId="83" xfId="11" applyFont="1" applyFill="1" applyBorder="1" applyAlignment="1" applyProtection="1">
      <alignment horizontal="left" vertical="center"/>
      <protection locked="0"/>
    </xf>
    <xf numFmtId="0" fontId="75" fillId="0" borderId="83" xfId="10" applyFont="1" applyBorder="1" applyAlignment="1" applyProtection="1">
      <alignment horizontal="left" vertical="center"/>
      <protection locked="0"/>
    </xf>
    <xf numFmtId="0" fontId="11" fillId="19" borderId="0" xfId="11" applyFont="1" applyFill="1" applyAlignment="1">
      <alignment horizontal="center" vertical="top"/>
    </xf>
    <xf numFmtId="0" fontId="75" fillId="19" borderId="83" xfId="11" applyFont="1" applyFill="1" applyBorder="1" applyAlignment="1" applyProtection="1">
      <alignment vertical="center"/>
      <protection locked="0"/>
    </xf>
    <xf numFmtId="0" fontId="75" fillId="0" borderId="83" xfId="10" applyFont="1" applyBorder="1" applyAlignment="1" applyProtection="1">
      <alignment vertical="center"/>
      <protection locked="0"/>
    </xf>
    <xf numFmtId="0" fontId="42" fillId="19" borderId="120" xfId="11" applyFont="1" applyFill="1" applyBorder="1" applyAlignment="1">
      <alignment horizontal="center"/>
    </xf>
    <xf numFmtId="49" fontId="2" fillId="19" borderId="104" xfId="11" applyNumberFormat="1" applyFont="1" applyFill="1" applyBorder="1" applyAlignment="1" applyProtection="1">
      <alignment horizontal="center" vertical="center"/>
      <protection locked="0"/>
    </xf>
    <xf numFmtId="49" fontId="2" fillId="19" borderId="106" xfId="11" applyNumberFormat="1" applyFont="1" applyFill="1" applyBorder="1" applyAlignment="1" applyProtection="1">
      <alignment horizontal="center" vertical="center"/>
      <protection locked="0"/>
    </xf>
    <xf numFmtId="0" fontId="149" fillId="31" borderId="0" xfId="0" applyFont="1" applyFill="1" applyAlignment="1">
      <alignment vertical="center"/>
    </xf>
    <xf numFmtId="0" fontId="149" fillId="30" borderId="0" xfId="0" applyFont="1" applyFill="1" applyAlignment="1">
      <alignment vertical="center"/>
    </xf>
    <xf numFmtId="0" fontId="148" fillId="31" borderId="0" xfId="0" applyFont="1" applyFill="1" applyAlignment="1">
      <alignment horizontal="right"/>
    </xf>
    <xf numFmtId="0" fontId="116" fillId="30" borderId="0" xfId="0" applyFont="1" applyFill="1" applyAlignment="1">
      <alignment horizontal="right"/>
    </xf>
    <xf numFmtId="0" fontId="143" fillId="31" borderId="141" xfId="0" applyFont="1" applyFill="1" applyBorder="1" applyAlignment="1">
      <alignment wrapText="1"/>
    </xf>
    <xf numFmtId="0" fontId="0" fillId="0" borderId="141" xfId="0" applyBorder="1" applyAlignment="1">
      <alignment wrapText="1"/>
    </xf>
    <xf numFmtId="0" fontId="0" fillId="0" borderId="0" xfId="0" applyAlignment="1">
      <alignment wrapText="1"/>
    </xf>
    <xf numFmtId="0" fontId="149" fillId="33" borderId="0" xfId="0" applyFont="1" applyFill="1" applyAlignment="1">
      <alignment horizontal="center" vertical="center"/>
    </xf>
    <xf numFmtId="0" fontId="150" fillId="33" borderId="0" xfId="0" applyFont="1" applyFill="1" applyAlignment="1">
      <alignment horizontal="center" vertical="center"/>
    </xf>
    <xf numFmtId="0" fontId="150" fillId="33" borderId="144" xfId="0" applyFont="1" applyFill="1" applyBorder="1" applyAlignment="1">
      <alignment horizontal="center" vertical="center"/>
    </xf>
    <xf numFmtId="49" fontId="95" fillId="7" borderId="148" xfId="0" applyNumberFormat="1" applyFont="1" applyFill="1" applyBorder="1" applyAlignment="1" applyProtection="1">
      <alignment horizontal="left" vertical="center"/>
      <protection locked="0"/>
    </xf>
    <xf numFmtId="49" fontId="95" fillId="7" borderId="149" xfId="0" applyNumberFormat="1" applyFont="1" applyFill="1" applyBorder="1" applyAlignment="1" applyProtection="1">
      <alignment horizontal="left" vertical="center"/>
      <protection locked="0"/>
    </xf>
    <xf numFmtId="49" fontId="95" fillId="7" borderId="150" xfId="0" applyNumberFormat="1" applyFont="1" applyFill="1" applyBorder="1" applyAlignment="1" applyProtection="1">
      <alignment horizontal="left" vertical="center"/>
      <protection locked="0"/>
    </xf>
    <xf numFmtId="4" fontId="95" fillId="7" borderId="148" xfId="0" applyNumberFormat="1" applyFont="1" applyFill="1" applyBorder="1" applyAlignment="1" applyProtection="1">
      <alignment vertical="center"/>
      <protection locked="0"/>
    </xf>
    <xf numFmtId="4" fontId="95" fillId="7" borderId="149" xfId="0" applyNumberFormat="1" applyFont="1" applyFill="1" applyBorder="1" applyAlignment="1" applyProtection="1">
      <alignment vertical="center"/>
      <protection locked="0"/>
    </xf>
    <xf numFmtId="4" fontId="95" fillId="7" borderId="150" xfId="0" applyNumberFormat="1" applyFont="1" applyFill="1" applyBorder="1" applyAlignment="1" applyProtection="1">
      <alignment vertical="center"/>
      <protection locked="0"/>
    </xf>
    <xf numFmtId="0" fontId="148" fillId="31" borderId="140" xfId="0" applyFont="1" applyFill="1" applyBorder="1" applyAlignment="1">
      <alignment vertical="center"/>
    </xf>
    <xf numFmtId="0" fontId="0" fillId="0" borderId="141" xfId="0" applyBorder="1" applyAlignment="1">
      <alignment vertical="center"/>
    </xf>
    <xf numFmtId="0" fontId="0" fillId="0" borderId="142" xfId="0" applyBorder="1" applyAlignment="1">
      <alignment vertical="center"/>
    </xf>
    <xf numFmtId="0" fontId="0" fillId="31" borderId="143" xfId="0" applyFill="1" applyBorder="1"/>
    <xf numFmtId="0" fontId="0" fillId="0" borderId="144" xfId="0" applyBorder="1"/>
    <xf numFmtId="0" fontId="0" fillId="31" borderId="0" xfId="0" applyFill="1"/>
    <xf numFmtId="0" fontId="143" fillId="31" borderId="0" xfId="0" applyFont="1" applyFill="1"/>
    <xf numFmtId="0" fontId="116" fillId="30" borderId="0" xfId="0" applyFont="1" applyFill="1"/>
    <xf numFmtId="0" fontId="116" fillId="31" borderId="0" xfId="0" applyFont="1" applyFill="1"/>
    <xf numFmtId="49" fontId="162" fillId="7" borderId="148" xfId="0" applyNumberFormat="1" applyFont="1" applyFill="1" applyBorder="1" applyAlignment="1" applyProtection="1">
      <alignment horizontal="center" vertical="center"/>
      <protection locked="0"/>
    </xf>
    <xf numFmtId="0" fontId="0" fillId="0" borderId="149" xfId="0" applyBorder="1" applyAlignment="1">
      <alignment horizontal="center" vertical="center"/>
    </xf>
    <xf numFmtId="0" fontId="0" fillId="0" borderId="150" xfId="0" applyBorder="1" applyAlignment="1">
      <alignment horizontal="center" vertical="center"/>
    </xf>
    <xf numFmtId="0" fontId="95" fillId="7" borderId="148" xfId="0" applyFont="1" applyFill="1" applyBorder="1" applyAlignment="1">
      <alignment horizontal="center" vertical="center"/>
    </xf>
    <xf numFmtId="0" fontId="95" fillId="0" borderId="149" xfId="0" applyFont="1" applyBorder="1" applyAlignment="1">
      <alignment horizontal="center" vertical="center"/>
    </xf>
    <xf numFmtId="0" fontId="95" fillId="0" borderId="150" xfId="0" applyFont="1" applyBorder="1" applyAlignment="1">
      <alignment horizontal="center" vertical="center"/>
    </xf>
    <xf numFmtId="49" fontId="95" fillId="7" borderId="148" xfId="0" applyNumberFormat="1" applyFont="1" applyFill="1" applyBorder="1" applyAlignment="1">
      <alignment horizontal="center" vertical="center"/>
    </xf>
    <xf numFmtId="49" fontId="95" fillId="7" borderId="149" xfId="0" applyNumberFormat="1" applyFont="1" applyFill="1" applyBorder="1" applyAlignment="1">
      <alignment horizontal="center" vertical="center"/>
    </xf>
    <xf numFmtId="49" fontId="95" fillId="7" borderId="150" xfId="0" applyNumberFormat="1" applyFont="1" applyFill="1" applyBorder="1" applyAlignment="1">
      <alignment horizontal="center" vertical="center"/>
    </xf>
    <xf numFmtId="0" fontId="149" fillId="31" borderId="0" xfId="0" applyFont="1" applyFill="1" applyAlignment="1">
      <alignment horizontal="center" vertical="center"/>
    </xf>
    <xf numFmtId="0" fontId="149" fillId="31" borderId="144" xfId="0" applyFont="1" applyFill="1" applyBorder="1" applyAlignment="1">
      <alignment horizontal="center" vertical="center"/>
    </xf>
    <xf numFmtId="0" fontId="95" fillId="0" borderId="148" xfId="0" applyFont="1" applyBorder="1" applyAlignment="1">
      <alignment vertical="center"/>
    </xf>
    <xf numFmtId="0" fontId="95" fillId="0" borderId="149" xfId="0" applyFont="1" applyBorder="1" applyAlignment="1">
      <alignment vertical="center"/>
    </xf>
    <xf numFmtId="0" fontId="95" fillId="0" borderId="150" xfId="0" applyFont="1" applyBorder="1" applyAlignment="1">
      <alignment vertical="center"/>
    </xf>
    <xf numFmtId="0" fontId="149" fillId="31" borderId="144" xfId="0" applyFont="1" applyFill="1" applyBorder="1" applyAlignment="1">
      <alignment vertical="center"/>
    </xf>
    <xf numFmtId="0" fontId="153" fillId="28" borderId="148" xfId="0" applyFont="1" applyFill="1" applyBorder="1" applyAlignment="1">
      <alignment vertical="center"/>
    </xf>
    <xf numFmtId="0" fontId="153" fillId="28" borderId="149" xfId="0" applyFont="1" applyFill="1" applyBorder="1" applyAlignment="1">
      <alignment vertical="center"/>
    </xf>
    <xf numFmtId="0" fontId="154" fillId="29" borderId="149" xfId="0" applyFont="1" applyFill="1" applyBorder="1" applyAlignment="1">
      <alignment vertical="center"/>
    </xf>
    <xf numFmtId="0" fontId="154" fillId="29" borderId="150" xfId="0" applyFont="1" applyFill="1" applyBorder="1" applyAlignment="1">
      <alignment vertical="center"/>
    </xf>
    <xf numFmtId="0" fontId="149" fillId="31" borderId="143" xfId="0" applyFont="1" applyFill="1" applyBorder="1" applyAlignment="1">
      <alignment vertical="center"/>
    </xf>
    <xf numFmtId="0" fontId="95" fillId="7" borderId="148" xfId="0" applyFont="1" applyFill="1" applyBorder="1" applyAlignment="1" applyProtection="1">
      <alignment horizontal="left" vertical="center"/>
      <protection locked="0"/>
    </xf>
    <xf numFmtId="0" fontId="95" fillId="0" borderId="149" xfId="0" applyFont="1" applyBorder="1" applyAlignment="1" applyProtection="1">
      <alignment horizontal="left" vertical="center"/>
      <protection locked="0"/>
    </xf>
    <xf numFmtId="0" fontId="95" fillId="0" borderId="150" xfId="0" applyFont="1" applyBorder="1" applyAlignment="1" applyProtection="1">
      <alignment horizontal="left" vertical="center"/>
      <protection locked="0"/>
    </xf>
    <xf numFmtId="49" fontId="148" fillId="31" borderId="0" xfId="0" applyNumberFormat="1" applyFont="1" applyFill="1" applyAlignment="1">
      <alignment horizontal="right"/>
    </xf>
    <xf numFmtId="0" fontId="148" fillId="30" borderId="0" xfId="0" applyFont="1" applyFill="1" applyAlignment="1">
      <alignment horizontal="right"/>
    </xf>
    <xf numFmtId="0" fontId="122" fillId="23" borderId="0" xfId="0" applyFont="1" applyFill="1" applyAlignment="1">
      <alignment horizontal="center" vertical="center"/>
    </xf>
    <xf numFmtId="0" fontId="122" fillId="19" borderId="0" xfId="0" applyFont="1" applyFill="1" applyAlignment="1">
      <alignment horizontal="center" vertical="center"/>
    </xf>
    <xf numFmtId="0" fontId="0" fillId="33" borderId="145" xfId="0" applyFill="1" applyBorder="1"/>
    <xf numFmtId="0" fontId="0" fillId="17" borderId="146" xfId="0" applyFill="1" applyBorder="1"/>
    <xf numFmtId="0" fontId="0" fillId="17" borderId="147" xfId="0" applyFill="1" applyBorder="1"/>
    <xf numFmtId="0" fontId="0" fillId="33" borderId="146" xfId="0" applyFill="1" applyBorder="1" applyAlignment="1">
      <alignment vertical="center"/>
    </xf>
    <xf numFmtId="0" fontId="0" fillId="17" borderId="146" xfId="0" applyFill="1" applyBorder="1" applyAlignment="1">
      <alignment vertical="center"/>
    </xf>
    <xf numFmtId="0" fontId="0" fillId="17" borderId="147" xfId="0" applyFill="1" applyBorder="1" applyAlignment="1">
      <alignment vertical="center"/>
    </xf>
    <xf numFmtId="0" fontId="152" fillId="7" borderId="140" xfId="0" applyFont="1" applyFill="1" applyBorder="1" applyAlignment="1">
      <alignment horizontal="center"/>
    </xf>
    <xf numFmtId="0" fontId="150" fillId="0" borderId="141" xfId="0" applyFont="1" applyBorder="1" applyAlignment="1">
      <alignment horizontal="center"/>
    </xf>
    <xf numFmtId="0" fontId="150" fillId="0" borderId="142" xfId="0" applyFont="1" applyBorder="1" applyAlignment="1">
      <alignment horizontal="center"/>
    </xf>
    <xf numFmtId="0" fontId="150" fillId="0" borderId="143" xfId="0" applyFont="1" applyBorder="1" applyAlignment="1">
      <alignment horizontal="center"/>
    </xf>
    <xf numFmtId="0" fontId="150" fillId="0" borderId="0" xfId="0" applyFont="1" applyAlignment="1">
      <alignment horizontal="center"/>
    </xf>
    <xf numFmtId="0" fontId="150" fillId="0" borderId="144" xfId="0" applyFont="1" applyBorder="1" applyAlignment="1">
      <alignment horizontal="center"/>
    </xf>
    <xf numFmtId="0" fontId="150" fillId="0" borderId="143" xfId="0" applyFont="1" applyBorder="1"/>
    <xf numFmtId="0" fontId="150" fillId="0" borderId="0" xfId="0" applyFont="1"/>
    <xf numFmtId="0" fontId="150" fillId="0" borderId="144" xfId="0" applyFont="1" applyBorder="1"/>
    <xf numFmtId="0" fontId="150" fillId="0" borderId="145" xfId="0" applyFont="1" applyBorder="1"/>
    <xf numFmtId="0" fontId="150" fillId="0" borderId="146" xfId="0" applyFont="1" applyBorder="1"/>
    <xf numFmtId="0" fontId="150" fillId="0" borderId="147" xfId="0" applyFont="1" applyBorder="1"/>
    <xf numFmtId="0" fontId="144" fillId="7" borderId="140" xfId="0" applyFont="1" applyFill="1" applyBorder="1" applyAlignment="1">
      <alignment horizontal="center" vertical="center"/>
    </xf>
    <xf numFmtId="0" fontId="116" fillId="0" borderId="141" xfId="0" applyFont="1" applyBorder="1"/>
    <xf numFmtId="0" fontId="116" fillId="0" borderId="142" xfId="0" applyFont="1" applyBorder="1"/>
    <xf numFmtId="0" fontId="144" fillId="7" borderId="143" xfId="0" applyFont="1" applyFill="1" applyBorder="1" applyAlignment="1">
      <alignment horizontal="center" vertical="center"/>
    </xf>
    <xf numFmtId="0" fontId="116" fillId="0" borderId="0" xfId="0" applyFont="1"/>
    <xf numFmtId="0" fontId="116" fillId="0" borderId="144" xfId="0" applyFont="1" applyBorder="1"/>
    <xf numFmtId="0" fontId="0" fillId="30" borderId="0" xfId="0" applyFill="1"/>
    <xf numFmtId="0" fontId="0" fillId="30" borderId="144" xfId="0" applyFill="1" applyBorder="1"/>
    <xf numFmtId="0" fontId="148" fillId="31" borderId="0" xfId="0" applyFont="1" applyFill="1" applyAlignment="1">
      <alignment vertical="center"/>
    </xf>
    <xf numFmtId="0" fontId="148" fillId="31" borderId="144" xfId="0" applyFont="1" applyFill="1" applyBorder="1" applyAlignment="1">
      <alignment vertical="center"/>
    </xf>
    <xf numFmtId="3" fontId="95" fillId="7" borderId="148" xfId="0" applyNumberFormat="1" applyFont="1" applyFill="1" applyBorder="1" applyAlignment="1" applyProtection="1">
      <alignment vertical="center"/>
      <protection locked="0"/>
    </xf>
    <xf numFmtId="0" fontId="95" fillId="7" borderId="149" xfId="0" applyFont="1" applyFill="1" applyBorder="1" applyAlignment="1" applyProtection="1">
      <alignment vertical="center"/>
      <protection locked="0"/>
    </xf>
    <xf numFmtId="0" fontId="95" fillId="7" borderId="150" xfId="0" applyFont="1" applyFill="1" applyBorder="1" applyAlignment="1" applyProtection="1">
      <alignment vertical="center"/>
      <protection locked="0"/>
    </xf>
    <xf numFmtId="0" fontId="122" fillId="31" borderId="0" xfId="0" applyFont="1" applyFill="1" applyAlignment="1">
      <alignment vertical="center"/>
    </xf>
    <xf numFmtId="0" fontId="116" fillId="30" borderId="0" xfId="0" applyFont="1" applyFill="1" applyAlignment="1">
      <alignment vertical="center"/>
    </xf>
    <xf numFmtId="0" fontId="116" fillId="30" borderId="144" xfId="0" applyFont="1" applyFill="1" applyBorder="1" applyAlignment="1">
      <alignment vertical="center"/>
    </xf>
    <xf numFmtId="0" fontId="153" fillId="28" borderId="129" xfId="0" applyFont="1" applyFill="1" applyBorder="1" applyAlignment="1">
      <alignment vertical="center"/>
    </xf>
    <xf numFmtId="0" fontId="154" fillId="29" borderId="129" xfId="0" applyFont="1" applyFill="1" applyBorder="1" applyAlignment="1">
      <alignment vertical="center"/>
    </xf>
    <xf numFmtId="0" fontId="154" fillId="29" borderId="151" xfId="0" applyFont="1" applyFill="1" applyBorder="1" applyAlignment="1">
      <alignment vertical="center"/>
    </xf>
    <xf numFmtId="0" fontId="95" fillId="7" borderId="148" xfId="0" applyFont="1" applyFill="1" applyBorder="1" applyAlignment="1" applyProtection="1">
      <alignment horizontal="center" vertical="center"/>
      <protection locked="0"/>
    </xf>
    <xf numFmtId="0" fontId="95" fillId="7" borderId="150" xfId="0" applyFont="1" applyFill="1" applyBorder="1" applyAlignment="1" applyProtection="1">
      <alignment horizontal="center" vertical="center"/>
      <protection locked="0"/>
    </xf>
    <xf numFmtId="0" fontId="0" fillId="31" borderId="0" xfId="0" applyFill="1" applyAlignment="1">
      <alignment vertical="center"/>
    </xf>
    <xf numFmtId="0" fontId="0" fillId="30" borderId="0" xfId="0" applyFill="1" applyAlignment="1">
      <alignment vertical="center"/>
    </xf>
    <xf numFmtId="0" fontId="0" fillId="30" borderId="144" xfId="0" applyFill="1" applyBorder="1" applyAlignment="1">
      <alignment vertical="center"/>
    </xf>
    <xf numFmtId="4" fontId="95" fillId="34" borderId="148" xfId="0" applyNumberFormat="1" applyFont="1" applyFill="1" applyBorder="1" applyAlignment="1">
      <alignment vertical="center"/>
    </xf>
    <xf numFmtId="0" fontId="0" fillId="35" borderId="149" xfId="0" applyFill="1" applyBorder="1" applyAlignment="1">
      <alignment vertical="center"/>
    </xf>
    <xf numFmtId="0" fontId="0" fillId="35" borderId="150" xfId="0" applyFill="1" applyBorder="1" applyAlignment="1">
      <alignment vertical="center"/>
    </xf>
    <xf numFmtId="0" fontId="149" fillId="31" borderId="143" xfId="0" applyFont="1" applyFill="1" applyBorder="1" applyAlignment="1">
      <alignment horizontal="right" vertical="center"/>
    </xf>
    <xf numFmtId="0" fontId="149" fillId="31" borderId="0" xfId="0" applyFont="1" applyFill="1" applyAlignment="1">
      <alignment horizontal="left" vertical="center"/>
    </xf>
    <xf numFmtId="0" fontId="16" fillId="31" borderId="0" xfId="0" applyFont="1" applyFill="1" applyAlignment="1">
      <alignment vertical="center"/>
    </xf>
    <xf numFmtId="0" fontId="155" fillId="31" borderId="0" xfId="0" applyFont="1" applyFill="1" applyAlignment="1">
      <alignment vertical="center"/>
    </xf>
    <xf numFmtId="0" fontId="156" fillId="30" borderId="0" xfId="0" applyFont="1" applyFill="1" applyAlignment="1">
      <alignment vertical="center"/>
    </xf>
    <xf numFmtId="0" fontId="95" fillId="0" borderId="148" xfId="0" applyFont="1" applyBorder="1" applyAlignment="1" applyProtection="1">
      <alignment vertical="center"/>
      <protection locked="0"/>
    </xf>
    <xf numFmtId="0" fontId="95" fillId="0" borderId="149" xfId="0" applyFont="1" applyBorder="1" applyAlignment="1" applyProtection="1">
      <alignment vertical="center"/>
      <protection locked="0"/>
    </xf>
    <xf numFmtId="0" fontId="95" fillId="0" borderId="150" xfId="0" applyFont="1" applyBorder="1" applyAlignment="1" applyProtection="1">
      <alignment vertical="center"/>
      <protection locked="0"/>
    </xf>
    <xf numFmtId="0" fontId="149" fillId="30" borderId="143" xfId="0" applyFont="1" applyFill="1" applyBorder="1" applyAlignment="1">
      <alignment vertical="center"/>
    </xf>
    <xf numFmtId="0" fontId="0" fillId="31" borderId="144" xfId="0" applyFill="1" applyBorder="1"/>
    <xf numFmtId="0" fontId="0" fillId="31" borderId="143" xfId="0" applyFill="1" applyBorder="1" applyAlignment="1">
      <alignment vertical="center"/>
    </xf>
    <xf numFmtId="0" fontId="155" fillId="33" borderId="0" xfId="0" applyFont="1" applyFill="1" applyAlignment="1">
      <alignment vertical="center"/>
    </xf>
    <xf numFmtId="0" fontId="156" fillId="33" borderId="0" xfId="0" applyFont="1" applyFill="1" applyAlignment="1">
      <alignment vertical="center"/>
    </xf>
    <xf numFmtId="0" fontId="156" fillId="33" borderId="62" xfId="0" applyFont="1" applyFill="1" applyBorder="1" applyAlignment="1">
      <alignment vertical="center"/>
    </xf>
    <xf numFmtId="0" fontId="156" fillId="33" borderId="144" xfId="0" applyFont="1" applyFill="1" applyBorder="1" applyAlignment="1">
      <alignment vertical="center"/>
    </xf>
    <xf numFmtId="0" fontId="0" fillId="31" borderId="145" xfId="0" applyFill="1" applyBorder="1"/>
    <xf numFmtId="0" fontId="0" fillId="0" borderId="146" xfId="0" applyBorder="1"/>
    <xf numFmtId="0" fontId="0" fillId="0" borderId="147" xfId="0" applyBorder="1"/>
    <xf numFmtId="0" fontId="148" fillId="31" borderId="143" xfId="0" applyFont="1" applyFill="1" applyBorder="1" applyAlignment="1">
      <alignment vertical="center"/>
    </xf>
    <xf numFmtId="0" fontId="0" fillId="0" borderId="144" xfId="0" applyBorder="1" applyAlignment="1">
      <alignment vertical="center"/>
    </xf>
    <xf numFmtId="0" fontId="122" fillId="31" borderId="144" xfId="0" applyFont="1" applyFill="1" applyBorder="1" applyAlignment="1">
      <alignment vertical="center"/>
    </xf>
    <xf numFmtId="0" fontId="116" fillId="30" borderId="140" xfId="0" applyFont="1" applyFill="1" applyBorder="1" applyAlignment="1">
      <alignment vertical="center"/>
    </xf>
    <xf numFmtId="0" fontId="0" fillId="0" borderId="141" xfId="0" applyBorder="1"/>
    <xf numFmtId="0" fontId="0" fillId="0" borderId="142" xfId="0" applyBorder="1"/>
    <xf numFmtId="0" fontId="116" fillId="30" borderId="143" xfId="0" applyFont="1" applyFill="1" applyBorder="1" applyAlignment="1">
      <alignment vertical="center"/>
    </xf>
    <xf numFmtId="0" fontId="149" fillId="0" borderId="0" xfId="0" applyFont="1" applyAlignment="1">
      <alignment vertical="center"/>
    </xf>
    <xf numFmtId="0" fontId="149" fillId="0" borderId="144" xfId="0" applyFont="1" applyBorder="1" applyAlignment="1">
      <alignment vertical="center"/>
    </xf>
    <xf numFmtId="0" fontId="153" fillId="28" borderId="139" xfId="0" applyFont="1" applyFill="1" applyBorder="1" applyAlignment="1">
      <alignment vertical="center"/>
    </xf>
    <xf numFmtId="0" fontId="154" fillId="29" borderId="139" xfId="0" applyFont="1" applyFill="1" applyBorder="1" applyAlignment="1">
      <alignment vertical="center"/>
    </xf>
    <xf numFmtId="0" fontId="149" fillId="31" borderId="0" xfId="0" applyFont="1" applyFill="1" applyAlignment="1">
      <alignment horizontal="right"/>
    </xf>
    <xf numFmtId="0" fontId="149" fillId="31" borderId="144" xfId="0" applyFont="1" applyFill="1" applyBorder="1" applyAlignment="1">
      <alignment horizontal="right"/>
    </xf>
    <xf numFmtId="3" fontId="95" fillId="7" borderId="149" xfId="0" applyNumberFormat="1" applyFont="1" applyFill="1" applyBorder="1" applyAlignment="1" applyProtection="1">
      <alignment vertical="center"/>
      <protection locked="0"/>
    </xf>
    <xf numFmtId="3" fontId="95" fillId="7" borderId="150" xfId="0" applyNumberFormat="1" applyFont="1" applyFill="1" applyBorder="1" applyAlignment="1" applyProtection="1">
      <alignment vertical="center"/>
      <protection locked="0"/>
    </xf>
    <xf numFmtId="0" fontId="149" fillId="31" borderId="0" xfId="0" applyFont="1" applyFill="1" applyAlignment="1">
      <alignment horizontal="right" vertical="center"/>
    </xf>
    <xf numFmtId="0" fontId="150" fillId="30" borderId="0" xfId="0" applyFont="1" applyFill="1" applyAlignment="1">
      <alignment horizontal="right" vertical="center"/>
    </xf>
    <xf numFmtId="0" fontId="150" fillId="30" borderId="144" xfId="0" applyFont="1" applyFill="1" applyBorder="1" applyAlignment="1">
      <alignment horizontal="right" vertical="center"/>
    </xf>
    <xf numFmtId="0" fontId="11" fillId="0" borderId="0" xfId="0" applyFont="1"/>
    <xf numFmtId="0" fontId="0" fillId="0" borderId="145" xfId="0" applyBorder="1"/>
    <xf numFmtId="3" fontId="95" fillId="34" borderId="148" xfId="0" applyNumberFormat="1" applyFont="1" applyFill="1" applyBorder="1" applyAlignment="1" applyProtection="1">
      <alignment vertical="center"/>
      <protection locked="0"/>
    </xf>
    <xf numFmtId="3" fontId="95" fillId="34" borderId="149" xfId="0" applyNumberFormat="1" applyFont="1" applyFill="1" applyBorder="1" applyAlignment="1" applyProtection="1">
      <alignment vertical="center"/>
      <protection locked="0"/>
    </xf>
    <xf numFmtId="3" fontId="95" fillId="34" borderId="150" xfId="0" applyNumberFormat="1" applyFont="1" applyFill="1" applyBorder="1" applyAlignment="1" applyProtection="1">
      <alignment vertical="center"/>
      <protection locked="0"/>
    </xf>
    <xf numFmtId="3" fontId="95" fillId="34" borderId="148" xfId="0" applyNumberFormat="1" applyFont="1" applyFill="1" applyBorder="1" applyAlignment="1">
      <alignment vertical="center"/>
    </xf>
    <xf numFmtId="3" fontId="95" fillId="34" borderId="149" xfId="0" applyNumberFormat="1" applyFont="1" applyFill="1" applyBorder="1" applyAlignment="1">
      <alignment vertical="center"/>
    </xf>
    <xf numFmtId="3" fontId="95" fillId="34" borderId="150" xfId="0" applyNumberFormat="1" applyFont="1" applyFill="1" applyBorder="1" applyAlignment="1">
      <alignment vertical="center"/>
    </xf>
    <xf numFmtId="0" fontId="122" fillId="7" borderId="143" xfId="0" applyFont="1" applyFill="1" applyBorder="1" applyAlignment="1">
      <alignment horizontal="center" vertical="center"/>
    </xf>
    <xf numFmtId="0" fontId="145" fillId="7" borderId="145" xfId="0" applyFont="1" applyFill="1" applyBorder="1" applyAlignment="1">
      <alignment horizontal="center" vertical="center"/>
    </xf>
    <xf numFmtId="0" fontId="116" fillId="0" borderId="146" xfId="0" applyFont="1" applyBorder="1"/>
    <xf numFmtId="0" fontId="116" fillId="0" borderId="147" xfId="0" applyFont="1" applyBorder="1"/>
    <xf numFmtId="0" fontId="149" fillId="2" borderId="0" xfId="0" applyFont="1" applyFill="1" applyAlignment="1">
      <alignment vertical="top" wrapText="1"/>
    </xf>
    <xf numFmtId="0" fontId="150" fillId="7" borderId="0" xfId="0" applyFont="1" applyFill="1" applyAlignment="1">
      <alignment vertical="top"/>
    </xf>
    <xf numFmtId="0" fontId="148" fillId="7" borderId="0" xfId="0" applyFont="1" applyFill="1" applyAlignment="1">
      <alignment horizontal="center" vertical="center"/>
    </xf>
    <xf numFmtId="0" fontId="149" fillId="7" borderId="0" xfId="0" applyFont="1" applyFill="1" applyAlignment="1">
      <alignment horizontal="right" vertical="center"/>
    </xf>
    <xf numFmtId="0" fontId="149" fillId="7" borderId="0" xfId="0" applyFont="1" applyFill="1" applyAlignment="1">
      <alignment horizontal="center" vertical="center"/>
    </xf>
    <xf numFmtId="0" fontId="116" fillId="0" borderId="0" xfId="0" applyFont="1" applyAlignment="1">
      <alignment horizontal="center" vertical="center"/>
    </xf>
    <xf numFmtId="0" fontId="78" fillId="7" borderId="0" xfId="0" applyFont="1" applyFill="1" applyAlignment="1">
      <alignment horizontal="center" vertical="center"/>
    </xf>
    <xf numFmtId="0" fontId="146" fillId="7" borderId="0" xfId="0" applyFont="1" applyFill="1" applyAlignment="1">
      <alignment horizontal="left" vertical="center"/>
    </xf>
    <xf numFmtId="0" fontId="147" fillId="0" borderId="0" xfId="0" applyFont="1" applyAlignment="1">
      <alignment horizontal="left"/>
    </xf>
    <xf numFmtId="0" fontId="95" fillId="7" borderId="148" xfId="0" applyFont="1" applyFill="1" applyBorder="1" applyAlignment="1" applyProtection="1">
      <alignment vertical="center"/>
      <protection locked="0"/>
    </xf>
    <xf numFmtId="0" fontId="146" fillId="2" borderId="0" xfId="0" applyFont="1" applyFill="1" applyAlignment="1">
      <alignment vertical="center" wrapText="1"/>
    </xf>
    <xf numFmtId="0" fontId="151" fillId="7" borderId="0" xfId="0" applyFont="1" applyFill="1" applyAlignment="1">
      <alignment horizontal="center" vertical="center"/>
    </xf>
    <xf numFmtId="0" fontId="149" fillId="31" borderId="145" xfId="0" applyFont="1" applyFill="1" applyBorder="1" applyAlignment="1">
      <alignment vertical="center"/>
    </xf>
    <xf numFmtId="0" fontId="150" fillId="30" borderId="146" xfId="0" applyFont="1" applyFill="1" applyBorder="1" applyAlignment="1">
      <alignment vertical="center"/>
    </xf>
    <xf numFmtId="0" fontId="0" fillId="0" borderId="146" xfId="0" applyBorder="1" applyAlignment="1">
      <alignment vertical="center"/>
    </xf>
    <xf numFmtId="0" fontId="95" fillId="7" borderId="149" xfId="0" applyFont="1" applyFill="1" applyBorder="1" applyAlignment="1">
      <alignment horizontal="center" vertical="center"/>
    </xf>
    <xf numFmtId="3" fontId="96" fillId="7" borderId="148" xfId="0" applyNumberFormat="1" applyFont="1" applyFill="1" applyBorder="1" applyAlignment="1">
      <alignment horizontal="center" vertical="center"/>
    </xf>
    <xf numFmtId="3" fontId="96" fillId="7" borderId="149" xfId="0" applyNumberFormat="1" applyFont="1" applyFill="1" applyBorder="1" applyAlignment="1">
      <alignment horizontal="center" vertical="center"/>
    </xf>
    <xf numFmtId="0" fontId="96" fillId="0" borderId="149" xfId="0" applyFont="1" applyBorder="1" applyAlignment="1">
      <alignment horizontal="center" vertical="center"/>
    </xf>
    <xf numFmtId="0" fontId="96" fillId="0" borderId="150" xfId="0" applyFont="1" applyBorder="1" applyAlignment="1">
      <alignment horizontal="center" vertical="center"/>
    </xf>
    <xf numFmtId="0" fontId="153" fillId="28" borderId="150" xfId="0" applyFont="1" applyFill="1" applyBorder="1" applyAlignment="1">
      <alignment vertical="center"/>
    </xf>
    <xf numFmtId="0" fontId="149" fillId="30" borderId="144" xfId="0" applyFont="1" applyFill="1" applyBorder="1" applyAlignment="1">
      <alignment vertical="center"/>
    </xf>
    <xf numFmtId="0" fontId="95" fillId="7" borderId="148" xfId="0" applyFont="1" applyFill="1" applyBorder="1" applyAlignment="1">
      <alignment vertical="center"/>
    </xf>
    <xf numFmtId="0" fontId="95" fillId="7" borderId="149" xfId="0" applyFont="1" applyFill="1" applyBorder="1" applyAlignment="1">
      <alignment vertical="center"/>
    </xf>
    <xf numFmtId="0" fontId="95" fillId="7" borderId="150" xfId="0" applyFont="1" applyFill="1" applyBorder="1" applyAlignment="1">
      <alignment vertical="center"/>
    </xf>
    <xf numFmtId="0" fontId="91" fillId="31" borderId="143" xfId="0" applyFont="1" applyFill="1" applyBorder="1" applyAlignment="1">
      <alignment horizontal="center"/>
    </xf>
    <xf numFmtId="4" fontId="95" fillId="34" borderId="149" xfId="0" applyNumberFormat="1" applyFont="1" applyFill="1" applyBorder="1" applyAlignment="1">
      <alignment vertical="center"/>
    </xf>
    <xf numFmtId="4" fontId="95" fillId="34" borderId="150" xfId="0" applyNumberFormat="1" applyFont="1" applyFill="1" applyBorder="1" applyAlignment="1">
      <alignment vertical="center"/>
    </xf>
    <xf numFmtId="0" fontId="150" fillId="30" borderId="0" xfId="0" applyFont="1" applyFill="1" applyAlignment="1">
      <alignment horizontal="right"/>
    </xf>
    <xf numFmtId="0" fontId="150" fillId="30" borderId="144" xfId="0" applyFont="1" applyFill="1" applyBorder="1" applyAlignment="1">
      <alignment horizontal="right"/>
    </xf>
    <xf numFmtId="0" fontId="149" fillId="31" borderId="0" xfId="0" applyFont="1" applyFill="1"/>
    <xf numFmtId="0" fontId="16" fillId="31" borderId="0" xfId="0" applyFont="1" applyFill="1"/>
    <xf numFmtId="0" fontId="156" fillId="17" borderId="0" xfId="0" applyFont="1" applyFill="1" applyAlignment="1">
      <alignment vertical="center"/>
    </xf>
    <xf numFmtId="0" fontId="143" fillId="31" borderId="0" xfId="0" applyFont="1" applyFill="1" applyAlignment="1">
      <alignment horizontal="center"/>
    </xf>
    <xf numFmtId="0" fontId="122" fillId="33" borderId="0" xfId="0" applyFont="1" applyFill="1" applyAlignment="1">
      <alignment vertical="center"/>
    </xf>
    <xf numFmtId="0" fontId="116" fillId="33" borderId="0" xfId="0" applyFont="1" applyFill="1" applyAlignment="1">
      <alignment vertical="center"/>
    </xf>
    <xf numFmtId="0" fontId="116" fillId="33" borderId="144" xfId="0" applyFont="1" applyFill="1" applyBorder="1" applyAlignment="1">
      <alignment vertical="center"/>
    </xf>
    <xf numFmtId="0" fontId="149" fillId="33" borderId="141" xfId="0" applyFont="1" applyFill="1" applyBorder="1" applyAlignment="1">
      <alignment horizontal="right" vertical="center"/>
    </xf>
    <xf numFmtId="0" fontId="116" fillId="17" borderId="141" xfId="0" applyFont="1" applyFill="1" applyBorder="1" applyAlignment="1">
      <alignment vertical="center"/>
    </xf>
    <xf numFmtId="0" fontId="116" fillId="17" borderId="142" xfId="0" applyFont="1" applyFill="1" applyBorder="1" applyAlignment="1">
      <alignment vertical="center"/>
    </xf>
    <xf numFmtId="0" fontId="149" fillId="33" borderId="0" xfId="0" applyFont="1" applyFill="1" applyAlignment="1">
      <alignment horizontal="right" vertical="center"/>
    </xf>
    <xf numFmtId="0" fontId="149" fillId="33" borderId="144" xfId="0" applyFont="1" applyFill="1" applyBorder="1" applyAlignment="1">
      <alignment horizontal="right" vertical="center"/>
    </xf>
    <xf numFmtId="0" fontId="151" fillId="7" borderId="140" xfId="0" applyFont="1" applyFill="1" applyBorder="1" applyAlignment="1" applyProtection="1">
      <alignment horizontal="center"/>
      <protection locked="0"/>
    </xf>
    <xf numFmtId="0" fontId="151" fillId="7" borderId="141" xfId="0" applyFont="1" applyFill="1" applyBorder="1" applyAlignment="1" applyProtection="1">
      <alignment horizontal="center"/>
      <protection locked="0"/>
    </xf>
    <xf numFmtId="0" fontId="151" fillId="7" borderId="142" xfId="0" applyFont="1" applyFill="1" applyBorder="1" applyAlignment="1" applyProtection="1">
      <alignment horizontal="center"/>
      <protection locked="0"/>
    </xf>
    <xf numFmtId="0" fontId="151" fillId="7" borderId="143" xfId="0" applyFont="1" applyFill="1" applyBorder="1" applyAlignment="1" applyProtection="1">
      <alignment horizontal="center"/>
      <protection locked="0"/>
    </xf>
    <xf numFmtId="0" fontId="151" fillId="7" borderId="0" xfId="0" applyFont="1" applyFill="1" applyAlignment="1" applyProtection="1">
      <alignment horizontal="center"/>
      <protection locked="0"/>
    </xf>
    <xf numFmtId="0" fontId="151" fillId="7" borderId="144" xfId="0" applyFont="1" applyFill="1" applyBorder="1" applyAlignment="1" applyProtection="1">
      <alignment horizontal="center"/>
      <protection locked="0"/>
    </xf>
    <xf numFmtId="0" fontId="151" fillId="7" borderId="145" xfId="0" applyFont="1" applyFill="1" applyBorder="1" applyAlignment="1" applyProtection="1">
      <alignment horizontal="center"/>
      <protection locked="0"/>
    </xf>
    <xf numFmtId="0" fontId="151" fillId="7" borderId="146" xfId="0" applyFont="1" applyFill="1" applyBorder="1" applyAlignment="1" applyProtection="1">
      <alignment horizontal="center"/>
      <protection locked="0"/>
    </xf>
    <xf numFmtId="0" fontId="151" fillId="7" borderId="147" xfId="0" applyFont="1" applyFill="1" applyBorder="1" applyAlignment="1" applyProtection="1">
      <alignment horizontal="center"/>
      <protection locked="0"/>
    </xf>
    <xf numFmtId="0" fontId="91" fillId="31" borderId="141" xfId="0" applyFont="1" applyFill="1" applyBorder="1" applyAlignment="1">
      <alignment horizontal="center"/>
    </xf>
    <xf numFmtId="0" fontId="2" fillId="0" borderId="141" xfId="0" applyFont="1" applyBorder="1"/>
    <xf numFmtId="14" fontId="95" fillId="7" borderId="140" xfId="0" applyNumberFormat="1" applyFont="1" applyFill="1" applyBorder="1" applyAlignment="1" applyProtection="1">
      <alignment horizontal="center" vertical="center"/>
      <protection locked="0"/>
    </xf>
    <xf numFmtId="0" fontId="0" fillId="0" borderId="141" xfId="0" applyBorder="1" applyAlignment="1">
      <alignment horizontal="center" vertical="center"/>
    </xf>
    <xf numFmtId="0" fontId="0" fillId="0" borderId="142" xfId="0" applyBorder="1" applyAlignment="1">
      <alignment horizontal="center" vertical="center"/>
    </xf>
    <xf numFmtId="0" fontId="91" fillId="31" borderId="0" xfId="0" applyFont="1" applyFill="1" applyAlignment="1">
      <alignment horizontal="center"/>
    </xf>
    <xf numFmtId="0" fontId="2" fillId="0" borderId="0" xfId="0" applyFont="1"/>
    <xf numFmtId="0" fontId="143" fillId="31" borderId="0" xfId="0" applyFont="1" applyFill="1" applyAlignment="1">
      <alignment vertical="center"/>
    </xf>
    <xf numFmtId="0" fontId="3" fillId="0" borderId="144" xfId="0" applyFont="1" applyBorder="1" applyAlignment="1">
      <alignment vertical="center"/>
    </xf>
    <xf numFmtId="0" fontId="143" fillId="31" borderId="143" xfId="0" applyFont="1" applyFill="1" applyBorder="1" applyAlignment="1">
      <alignment vertical="center"/>
    </xf>
    <xf numFmtId="0" fontId="122" fillId="33" borderId="143" xfId="0" applyFont="1" applyFill="1" applyBorder="1" applyAlignment="1">
      <alignment vertical="center"/>
    </xf>
    <xf numFmtId="0" fontId="151" fillId="31" borderId="140" xfId="0" applyFont="1" applyFill="1" applyBorder="1" applyAlignment="1">
      <alignment vertical="center" wrapText="1"/>
    </xf>
    <xf numFmtId="0" fontId="0" fillId="0" borderId="143" xfId="0" applyBorder="1" applyAlignment="1">
      <alignment wrapText="1"/>
    </xf>
    <xf numFmtId="0" fontId="116" fillId="17" borderId="0" xfId="0" applyFont="1" applyFill="1" applyAlignment="1">
      <alignment vertical="center"/>
    </xf>
    <xf numFmtId="0" fontId="116" fillId="17" borderId="144" xfId="0" applyFont="1" applyFill="1" applyBorder="1" applyAlignment="1">
      <alignment vertical="center"/>
    </xf>
    <xf numFmtId="0" fontId="148" fillId="33" borderId="0" xfId="0" applyFont="1" applyFill="1" applyAlignment="1">
      <alignment vertical="center"/>
    </xf>
    <xf numFmtId="0" fontId="2" fillId="23" borderId="0" xfId="0" applyFont="1" applyFill="1" applyAlignment="1">
      <alignment vertical="center"/>
    </xf>
    <xf numFmtId="0" fontId="3" fillId="23" borderId="0" xfId="0" applyFont="1" applyFill="1" applyAlignment="1">
      <alignment vertical="center"/>
    </xf>
    <xf numFmtId="0" fontId="3" fillId="23" borderId="62" xfId="0" applyFont="1" applyFill="1" applyBorder="1" applyAlignment="1">
      <alignment vertical="center"/>
    </xf>
    <xf numFmtId="0" fontId="142" fillId="23" borderId="135" xfId="0" applyFont="1" applyFill="1" applyBorder="1" applyAlignment="1">
      <alignment horizontal="right" vertical="center"/>
    </xf>
    <xf numFmtId="0" fontId="3" fillId="19" borderId="135" xfId="0" applyFont="1" applyFill="1" applyBorder="1" applyAlignment="1">
      <alignment vertical="center"/>
    </xf>
    <xf numFmtId="0" fontId="3" fillId="19" borderId="160" xfId="0" applyFont="1" applyFill="1" applyBorder="1" applyAlignment="1">
      <alignment vertical="center"/>
    </xf>
    <xf numFmtId="0" fontId="75" fillId="23" borderId="0" xfId="0" applyFont="1" applyFill="1" applyAlignment="1">
      <alignment vertical="center"/>
    </xf>
    <xf numFmtId="0" fontId="99" fillId="19" borderId="0" xfId="0" applyFont="1" applyFill="1" applyAlignment="1">
      <alignment vertical="center"/>
    </xf>
    <xf numFmtId="4" fontId="95" fillId="23" borderId="136" xfId="0" applyNumberFormat="1" applyFont="1" applyFill="1" applyBorder="1" applyAlignment="1">
      <alignment vertical="center"/>
    </xf>
    <xf numFmtId="4" fontId="95" fillId="23" borderId="137" xfId="0" applyNumberFormat="1" applyFont="1" applyFill="1" applyBorder="1" applyAlignment="1">
      <alignment vertical="center"/>
    </xf>
    <xf numFmtId="4" fontId="95" fillId="23" borderId="138" xfId="0" applyNumberFormat="1" applyFont="1" applyFill="1" applyBorder="1" applyAlignment="1">
      <alignment vertical="center"/>
    </xf>
    <xf numFmtId="0" fontId="3" fillId="19" borderId="0" xfId="0" applyFont="1" applyFill="1" applyAlignment="1">
      <alignment vertical="center"/>
    </xf>
    <xf numFmtId="0" fontId="58" fillId="23" borderId="0" xfId="0" applyFont="1" applyFill="1" applyAlignment="1">
      <alignment vertical="center"/>
    </xf>
    <xf numFmtId="3" fontId="95" fillId="23" borderId="161" xfId="0" applyNumberFormat="1" applyFont="1" applyFill="1" applyBorder="1" applyAlignment="1" applyProtection="1">
      <alignment vertical="center"/>
      <protection locked="0"/>
    </xf>
    <xf numFmtId="3" fontId="95" fillId="23" borderId="162" xfId="0" applyNumberFormat="1" applyFont="1" applyFill="1" applyBorder="1" applyAlignment="1" applyProtection="1">
      <alignment vertical="center"/>
      <protection locked="0"/>
    </xf>
    <xf numFmtId="3" fontId="95" fillId="23" borderId="163" xfId="0" applyNumberFormat="1" applyFont="1" applyFill="1" applyBorder="1" applyAlignment="1" applyProtection="1">
      <alignment vertical="center"/>
      <protection locked="0"/>
    </xf>
    <xf numFmtId="0" fontId="79" fillId="7" borderId="84" xfId="0" applyFont="1" applyFill="1" applyBorder="1" applyAlignment="1">
      <alignment horizontal="center" vertical="center"/>
    </xf>
    <xf numFmtId="0" fontId="78" fillId="16" borderId="86" xfId="0" applyFont="1" applyFill="1" applyBorder="1" applyAlignment="1">
      <alignment vertical="center"/>
    </xf>
    <xf numFmtId="0" fontId="78" fillId="16" borderId="87" xfId="0" applyFont="1" applyFill="1" applyBorder="1" applyAlignment="1">
      <alignment vertical="center"/>
    </xf>
    <xf numFmtId="0" fontId="78" fillId="16" borderId="88" xfId="0" applyFont="1" applyFill="1" applyBorder="1" applyAlignment="1">
      <alignment vertical="center"/>
    </xf>
    <xf numFmtId="0" fontId="90" fillId="0" borderId="61" xfId="0" applyFont="1" applyBorder="1" applyAlignment="1">
      <alignment vertical="center"/>
    </xf>
    <xf numFmtId="0" fontId="90" fillId="0" borderId="0" xfId="0" applyFont="1" applyAlignment="1">
      <alignment vertical="center"/>
    </xf>
    <xf numFmtId="0" fontId="103" fillId="7" borderId="66" xfId="0" applyFont="1" applyFill="1" applyBorder="1" applyAlignment="1">
      <alignment vertical="center"/>
    </xf>
    <xf numFmtId="0" fontId="72" fillId="0" borderId="66" xfId="0" applyFont="1" applyBorder="1" applyAlignment="1">
      <alignment vertical="center"/>
    </xf>
    <xf numFmtId="0" fontId="90" fillId="7" borderId="0" xfId="0" applyFont="1" applyFill="1" applyAlignment="1">
      <alignment horizontal="center" vertical="center"/>
    </xf>
    <xf numFmtId="0" fontId="72" fillId="7" borderId="0" xfId="0" applyFont="1" applyFill="1" applyAlignment="1">
      <alignment horizontal="center" vertical="center"/>
    </xf>
    <xf numFmtId="0" fontId="72" fillId="7" borderId="62" xfId="0" applyFont="1" applyFill="1" applyBorder="1" applyAlignment="1">
      <alignment horizontal="center" vertical="center"/>
    </xf>
    <xf numFmtId="0" fontId="95" fillId="0" borderId="86" xfId="0" applyFont="1" applyBorder="1" applyAlignment="1">
      <alignment vertical="center"/>
    </xf>
    <xf numFmtId="0" fontId="95" fillId="0" borderId="87" xfId="0" applyFont="1" applyBorder="1" applyAlignment="1">
      <alignment vertical="center"/>
    </xf>
    <xf numFmtId="0" fontId="95" fillId="0" borderId="88" xfId="0" applyFont="1" applyBorder="1" applyAlignment="1">
      <alignment vertical="center"/>
    </xf>
    <xf numFmtId="0" fontId="95" fillId="7" borderId="86" xfId="0" applyFont="1" applyFill="1" applyBorder="1" applyAlignment="1">
      <alignment horizontal="center" vertical="center"/>
    </xf>
    <xf numFmtId="0" fontId="95" fillId="7" borderId="87" xfId="0" applyFont="1" applyFill="1" applyBorder="1" applyAlignment="1">
      <alignment horizontal="center" vertical="center"/>
    </xf>
    <xf numFmtId="0" fontId="95" fillId="0" borderId="87" xfId="0" applyFont="1" applyBorder="1" applyAlignment="1">
      <alignment horizontal="center" vertical="center"/>
    </xf>
    <xf numFmtId="0" fontId="95" fillId="0" borderId="88" xfId="0" applyFont="1" applyBorder="1" applyAlignment="1">
      <alignment horizontal="center" vertical="center"/>
    </xf>
    <xf numFmtId="3" fontId="96" fillId="7" borderId="86" xfId="0" applyNumberFormat="1" applyFont="1" applyFill="1" applyBorder="1" applyAlignment="1">
      <alignment horizontal="center" vertical="center"/>
    </xf>
    <xf numFmtId="3" fontId="96" fillId="7" borderId="87" xfId="0" applyNumberFormat="1" applyFont="1" applyFill="1" applyBorder="1" applyAlignment="1">
      <alignment horizontal="center" vertical="center"/>
    </xf>
    <xf numFmtId="0" fontId="96" fillId="0" borderId="87" xfId="0" applyFont="1" applyBorder="1" applyAlignment="1">
      <alignment horizontal="center" vertical="center"/>
    </xf>
    <xf numFmtId="0" fontId="96" fillId="0" borderId="88" xfId="0" applyFont="1" applyBorder="1" applyAlignment="1">
      <alignment horizontal="center" vertical="center"/>
    </xf>
    <xf numFmtId="0" fontId="90" fillId="0" borderId="62" xfId="0" applyFont="1" applyBorder="1" applyAlignment="1">
      <alignment vertical="center"/>
    </xf>
    <xf numFmtId="0" fontId="97" fillId="7" borderId="74" xfId="0" applyFont="1" applyFill="1" applyBorder="1" applyAlignment="1">
      <alignment horizontal="center" vertical="center"/>
    </xf>
    <xf numFmtId="0" fontId="141" fillId="7" borderId="89" xfId="0" applyFont="1" applyFill="1" applyBorder="1" applyAlignment="1">
      <alignment horizontal="center"/>
    </xf>
    <xf numFmtId="0" fontId="31" fillId="0" borderId="66" xfId="0" applyFont="1" applyBorder="1" applyAlignment="1">
      <alignment horizontal="center"/>
    </xf>
    <xf numFmtId="0" fontId="31" fillId="0" borderId="91" xfId="0" applyFont="1" applyBorder="1" applyAlignment="1">
      <alignment horizontal="center"/>
    </xf>
    <xf numFmtId="0" fontId="31" fillId="0" borderId="61" xfId="0" applyFont="1" applyBorder="1" applyAlignment="1">
      <alignment horizontal="center"/>
    </xf>
    <xf numFmtId="0" fontId="31" fillId="0" borderId="0" xfId="0" applyFont="1" applyAlignment="1">
      <alignment horizontal="center"/>
    </xf>
    <xf numFmtId="0" fontId="31" fillId="0" borderId="62" xfId="0" applyFont="1" applyBorder="1" applyAlignment="1">
      <alignment horizontal="center"/>
    </xf>
    <xf numFmtId="0" fontId="31" fillId="0" borderId="61" xfId="0" applyFont="1" applyBorder="1"/>
    <xf numFmtId="0" fontId="31" fillId="0" borderId="0" xfId="0" applyFont="1"/>
    <xf numFmtId="0" fontId="31" fillId="0" borderId="62" xfId="0" applyFont="1" applyBorder="1"/>
    <xf numFmtId="0" fontId="31" fillId="0" borderId="92" xfId="0" applyFont="1" applyBorder="1"/>
    <xf numFmtId="0" fontId="31" fillId="0" borderId="84" xfId="0" applyFont="1" applyBorder="1"/>
    <xf numFmtId="0" fontId="31" fillId="0" borderId="90" xfId="0" applyFont="1" applyBorder="1"/>
    <xf numFmtId="0" fontId="97" fillId="7" borderId="34" xfId="0" applyFont="1" applyFill="1" applyBorder="1" applyAlignment="1">
      <alignment horizontal="center" vertical="center"/>
    </xf>
    <xf numFmtId="0" fontId="78" fillId="7" borderId="34" xfId="0" applyFont="1" applyFill="1" applyBorder="1" applyAlignment="1">
      <alignment horizontal="center" vertical="center"/>
    </xf>
    <xf numFmtId="0" fontId="98" fillId="7" borderId="121" xfId="0" applyFont="1" applyFill="1" applyBorder="1" applyAlignment="1">
      <alignment horizontal="center" vertical="center"/>
    </xf>
    <xf numFmtId="0" fontId="0" fillId="0" borderId="123" xfId="0" applyBorder="1"/>
    <xf numFmtId="0" fontId="81" fillId="2" borderId="0" xfId="0" applyFont="1" applyFill="1" applyAlignment="1">
      <alignment vertical="center" wrapText="1"/>
    </xf>
    <xf numFmtId="0" fontId="0" fillId="7" borderId="108" xfId="0" applyFill="1" applyBorder="1"/>
    <xf numFmtId="0" fontId="36" fillId="7" borderId="0" xfId="0" applyFont="1" applyFill="1" applyAlignment="1" applyProtection="1">
      <alignment horizontal="center" vertical="center"/>
      <protection locked="0"/>
    </xf>
    <xf numFmtId="0" fontId="0" fillId="0" borderId="0" xfId="0" applyProtection="1">
      <protection locked="0"/>
    </xf>
    <xf numFmtId="0" fontId="88" fillId="7" borderId="0" xfId="0" applyFont="1" applyFill="1" applyAlignment="1">
      <alignment horizontal="center" vertical="center"/>
    </xf>
    <xf numFmtId="0" fontId="90" fillId="2" borderId="0" xfId="0" applyFont="1" applyFill="1" applyAlignment="1">
      <alignment vertical="top" wrapText="1"/>
    </xf>
    <xf numFmtId="0" fontId="72" fillId="7" borderId="0" xfId="0" applyFont="1" applyFill="1" applyAlignment="1">
      <alignment vertical="top"/>
    </xf>
    <xf numFmtId="0" fontId="90" fillId="7" borderId="0" xfId="0" applyFont="1" applyFill="1" applyAlignment="1">
      <alignment horizontal="right" vertical="center"/>
    </xf>
    <xf numFmtId="0" fontId="0" fillId="0" borderId="62" xfId="0" applyBorder="1"/>
    <xf numFmtId="0" fontId="90" fillId="7" borderId="61" xfId="0" applyFont="1" applyFill="1" applyBorder="1" applyAlignment="1">
      <alignment horizontal="center" vertical="center"/>
    </xf>
    <xf numFmtId="0" fontId="0" fillId="0" borderId="62" xfId="0" applyBorder="1" applyAlignment="1">
      <alignment horizontal="center" vertical="center"/>
    </xf>
    <xf numFmtId="0" fontId="142" fillId="19" borderId="143" xfId="0" applyFont="1" applyFill="1" applyBorder="1" applyAlignment="1">
      <alignment vertical="center"/>
    </xf>
    <xf numFmtId="0" fontId="142" fillId="19" borderId="0" xfId="0" applyFont="1" applyFill="1" applyAlignment="1">
      <alignment vertical="center"/>
    </xf>
    <xf numFmtId="0" fontId="142" fillId="19" borderId="120" xfId="0" applyFont="1" applyFill="1" applyBorder="1" applyAlignment="1">
      <alignment vertical="center"/>
    </xf>
    <xf numFmtId="0" fontId="95" fillId="0" borderId="86" xfId="0" applyFont="1" applyBorder="1" applyAlignment="1" applyProtection="1">
      <alignment vertical="center"/>
      <protection locked="0"/>
    </xf>
    <xf numFmtId="0" fontId="95" fillId="0" borderId="87" xfId="0" applyFont="1" applyBorder="1" applyAlignment="1" applyProtection="1">
      <alignment vertical="center"/>
      <protection locked="0"/>
    </xf>
    <xf numFmtId="0" fontId="95" fillId="0" borderId="88" xfId="0" applyFont="1" applyBorder="1" applyAlignment="1" applyProtection="1">
      <alignment vertical="center"/>
      <protection locked="0"/>
    </xf>
    <xf numFmtId="0" fontId="90" fillId="7" borderId="84" xfId="0" applyFont="1" applyFill="1" applyBorder="1" applyAlignment="1">
      <alignment vertical="center"/>
    </xf>
    <xf numFmtId="0" fontId="90" fillId="7" borderId="90" xfId="0" applyFont="1" applyFill="1" applyBorder="1" applyAlignment="1">
      <alignment vertical="center"/>
    </xf>
    <xf numFmtId="49" fontId="95" fillId="7" borderId="86" xfId="0" applyNumberFormat="1" applyFont="1" applyFill="1" applyBorder="1" applyAlignment="1" applyProtection="1">
      <alignment horizontal="left" vertical="center"/>
      <protection locked="0"/>
    </xf>
    <xf numFmtId="49" fontId="95" fillId="7" borderId="87" xfId="0" applyNumberFormat="1" applyFont="1" applyFill="1" applyBorder="1" applyAlignment="1" applyProtection="1">
      <alignment horizontal="left" vertical="center"/>
      <protection locked="0"/>
    </xf>
    <xf numFmtId="49" fontId="95" fillId="7" borderId="88" xfId="0" applyNumberFormat="1" applyFont="1" applyFill="1" applyBorder="1" applyAlignment="1" applyProtection="1">
      <alignment horizontal="left" vertical="center"/>
      <protection locked="0"/>
    </xf>
    <xf numFmtId="0" fontId="90" fillId="7" borderId="89" xfId="0" applyFont="1" applyFill="1" applyBorder="1" applyAlignment="1">
      <alignment vertical="center"/>
    </xf>
    <xf numFmtId="0" fontId="90" fillId="7" borderId="66" xfId="0" applyFont="1" applyFill="1" applyBorder="1" applyAlignment="1">
      <alignment vertical="center"/>
    </xf>
    <xf numFmtId="0" fontId="90" fillId="7" borderId="84" xfId="0" applyFont="1" applyFill="1" applyBorder="1" applyAlignment="1">
      <alignment horizontal="center" vertical="center"/>
    </xf>
    <xf numFmtId="0" fontId="90" fillId="7" borderId="90" xfId="0" applyFont="1" applyFill="1" applyBorder="1" applyAlignment="1">
      <alignment horizontal="center" vertical="center"/>
    </xf>
    <xf numFmtId="0" fontId="95" fillId="7" borderId="86" xfId="0" applyFont="1" applyFill="1" applyBorder="1" applyAlignment="1">
      <alignment vertical="center"/>
    </xf>
    <xf numFmtId="0" fontId="95" fillId="7" borderId="87" xfId="0" applyFont="1" applyFill="1" applyBorder="1" applyAlignment="1">
      <alignment vertical="center"/>
    </xf>
    <xf numFmtId="0" fontId="95" fillId="7" borderId="88" xfId="0" applyFont="1" applyFill="1" applyBorder="1" applyAlignment="1">
      <alignment vertical="center"/>
    </xf>
    <xf numFmtId="49" fontId="95" fillId="7" borderId="86" xfId="0" applyNumberFormat="1" applyFont="1" applyFill="1" applyBorder="1" applyAlignment="1">
      <alignment horizontal="center" vertical="center"/>
    </xf>
    <xf numFmtId="49" fontId="95" fillId="7" borderId="87" xfId="0" applyNumberFormat="1" applyFont="1" applyFill="1" applyBorder="1" applyAlignment="1">
      <alignment horizontal="center" vertical="center"/>
    </xf>
    <xf numFmtId="49" fontId="95" fillId="7" borderId="88" xfId="0" applyNumberFormat="1" applyFont="1" applyFill="1" applyBorder="1" applyAlignment="1">
      <alignment horizontal="center" vertical="center"/>
    </xf>
    <xf numFmtId="0" fontId="142" fillId="23" borderId="143" xfId="0" applyFont="1" applyFill="1" applyBorder="1" applyAlignment="1">
      <alignment vertical="center"/>
    </xf>
    <xf numFmtId="0" fontId="31" fillId="19" borderId="0" xfId="0" applyFont="1" applyFill="1" applyAlignment="1">
      <alignment vertical="center"/>
    </xf>
    <xf numFmtId="0" fontId="95" fillId="7" borderId="161" xfId="0" applyFont="1" applyFill="1" applyBorder="1" applyAlignment="1" applyProtection="1">
      <alignment horizontal="left" vertical="center"/>
      <protection locked="0"/>
    </xf>
    <xf numFmtId="0" fontId="95" fillId="0" borderId="162" xfId="0" applyFont="1" applyBorder="1" applyAlignment="1" applyProtection="1">
      <alignment horizontal="left" vertical="center"/>
      <protection locked="0"/>
    </xf>
    <xf numFmtId="0" fontId="95" fillId="0" borderId="163" xfId="0" applyFont="1" applyBorder="1" applyAlignment="1" applyProtection="1">
      <alignment horizontal="left" vertical="center"/>
      <protection locked="0"/>
    </xf>
    <xf numFmtId="0" fontId="90" fillId="7" borderId="61" xfId="0" applyFont="1" applyFill="1" applyBorder="1" applyAlignment="1">
      <alignment vertical="center"/>
    </xf>
    <xf numFmtId="0" fontId="90" fillId="7" borderId="0" xfId="0" applyFont="1" applyFill="1" applyAlignment="1">
      <alignment vertical="center"/>
    </xf>
    <xf numFmtId="0" fontId="90" fillId="7" borderId="62" xfId="0" applyFont="1" applyFill="1" applyBorder="1" applyAlignment="1">
      <alignment vertical="center"/>
    </xf>
    <xf numFmtId="0" fontId="95" fillId="7" borderId="86" xfId="0" applyFont="1" applyFill="1" applyBorder="1" applyAlignment="1" applyProtection="1">
      <alignment vertical="center"/>
      <protection locked="0"/>
    </xf>
    <xf numFmtId="0" fontId="0" fillId="7" borderId="89" xfId="0" applyFill="1" applyBorder="1"/>
    <xf numFmtId="0" fontId="0" fillId="7" borderId="66" xfId="0" applyFill="1" applyBorder="1"/>
    <xf numFmtId="0" fontId="0" fillId="7" borderId="91" xfId="0" applyFill="1" applyBorder="1"/>
    <xf numFmtId="0" fontId="78" fillId="16" borderId="170" xfId="0" applyFont="1" applyFill="1" applyBorder="1" applyAlignment="1">
      <alignment vertical="center"/>
    </xf>
    <xf numFmtId="0" fontId="78" fillId="16" borderId="129" xfId="0" applyFont="1" applyFill="1" applyBorder="1" applyAlignment="1">
      <alignment vertical="center"/>
    </xf>
    <xf numFmtId="0" fontId="0" fillId="0" borderId="129" xfId="0" applyBorder="1" applyAlignment="1">
      <alignment vertical="center"/>
    </xf>
    <xf numFmtId="0" fontId="0" fillId="0" borderId="130" xfId="0" applyBorder="1" applyAlignment="1">
      <alignment vertical="center"/>
    </xf>
    <xf numFmtId="0" fontId="58" fillId="23" borderId="141" xfId="0" applyFont="1" applyFill="1" applyBorder="1" applyAlignment="1">
      <alignment vertical="center"/>
    </xf>
    <xf numFmtId="0" fontId="3" fillId="19" borderId="141" xfId="0" applyFont="1" applyFill="1" applyBorder="1" applyAlignment="1">
      <alignment vertical="center"/>
    </xf>
    <xf numFmtId="0" fontId="3" fillId="19" borderId="142" xfId="0" applyFont="1" applyFill="1" applyBorder="1" applyAlignment="1">
      <alignment vertical="center"/>
    </xf>
    <xf numFmtId="0" fontId="3" fillId="19" borderId="172" xfId="0" applyFont="1" applyFill="1" applyBorder="1" applyAlignment="1">
      <alignment vertical="center"/>
    </xf>
    <xf numFmtId="0" fontId="3" fillId="19" borderId="173" xfId="0" applyFont="1" applyFill="1" applyBorder="1"/>
    <xf numFmtId="0" fontId="3" fillId="19" borderId="160" xfId="0" applyFont="1" applyFill="1" applyBorder="1"/>
    <xf numFmtId="0" fontId="116" fillId="23" borderId="0" xfId="0" applyFont="1" applyFill="1"/>
    <xf numFmtId="0" fontId="0" fillId="19" borderId="0" xfId="0" applyFill="1"/>
    <xf numFmtId="0" fontId="0" fillId="19" borderId="144" xfId="0" applyFill="1" applyBorder="1"/>
    <xf numFmtId="0" fontId="3" fillId="19" borderId="119" xfId="0" applyFont="1" applyFill="1" applyBorder="1" applyAlignment="1">
      <alignment vertical="center"/>
    </xf>
    <xf numFmtId="0" fontId="3" fillId="19" borderId="0" xfId="0" applyFont="1" applyFill="1"/>
    <xf numFmtId="0" fontId="3" fillId="19" borderId="120" xfId="0" applyFont="1" applyFill="1" applyBorder="1"/>
    <xf numFmtId="0" fontId="2" fillId="37" borderId="156" xfId="0" applyFont="1" applyFill="1" applyBorder="1" applyAlignment="1">
      <alignment vertical="center"/>
    </xf>
    <xf numFmtId="0" fontId="3" fillId="21" borderId="153" xfId="0" applyFont="1" applyFill="1" applyBorder="1" applyAlignment="1">
      <alignment vertical="center"/>
    </xf>
    <xf numFmtId="0" fontId="2" fillId="37" borderId="153" xfId="0" applyFont="1" applyFill="1" applyBorder="1" applyAlignment="1">
      <alignment vertical="center"/>
    </xf>
    <xf numFmtId="0" fontId="3" fillId="21" borderId="158" xfId="0" applyFont="1" applyFill="1" applyBorder="1" applyAlignment="1">
      <alignment vertical="center"/>
    </xf>
    <xf numFmtId="0" fontId="142" fillId="23" borderId="0" xfId="0" applyFont="1" applyFill="1" applyAlignment="1">
      <alignment horizontal="right"/>
    </xf>
    <xf numFmtId="0" fontId="142" fillId="23" borderId="144" xfId="0" applyFont="1" applyFill="1" applyBorder="1" applyAlignment="1">
      <alignment horizontal="right"/>
    </xf>
    <xf numFmtId="0" fontId="2" fillId="23" borderId="0" xfId="0" applyFont="1" applyFill="1"/>
    <xf numFmtId="0" fontId="142" fillId="23" borderId="0" xfId="0" applyFont="1" applyFill="1"/>
    <xf numFmtId="0" fontId="3" fillId="23" borderId="0" xfId="0" applyFont="1" applyFill="1"/>
    <xf numFmtId="4" fontId="95" fillId="7" borderId="136" xfId="0" applyNumberFormat="1" applyFont="1" applyFill="1" applyBorder="1" applyAlignment="1" applyProtection="1">
      <alignment vertical="center"/>
      <protection locked="0"/>
    </xf>
    <xf numFmtId="4" fontId="95" fillId="7" borderId="137" xfId="0" applyNumberFormat="1" applyFont="1" applyFill="1" applyBorder="1" applyAlignment="1" applyProtection="1">
      <alignment vertical="center"/>
      <protection locked="0"/>
    </xf>
    <xf numFmtId="4" fontId="95" fillId="7" borderId="138" xfId="0" applyNumberFormat="1" applyFont="1" applyFill="1" applyBorder="1" applyAlignment="1" applyProtection="1">
      <alignment vertical="center"/>
      <protection locked="0"/>
    </xf>
    <xf numFmtId="3" fontId="95" fillId="7" borderId="136" xfId="0" applyNumberFormat="1" applyFont="1" applyFill="1" applyBorder="1" applyAlignment="1" applyProtection="1">
      <alignment vertical="center"/>
      <protection locked="0"/>
    </xf>
    <xf numFmtId="3" fontId="95" fillId="7" borderId="137" xfId="0" applyNumberFormat="1" applyFont="1" applyFill="1" applyBorder="1" applyAlignment="1" applyProtection="1">
      <alignment vertical="center"/>
      <protection locked="0"/>
    </xf>
    <xf numFmtId="3" fontId="95" fillId="7" borderId="138" xfId="0" applyNumberFormat="1" applyFont="1" applyFill="1" applyBorder="1" applyAlignment="1" applyProtection="1">
      <alignment vertical="center"/>
      <protection locked="0"/>
    </xf>
    <xf numFmtId="0" fontId="3" fillId="19" borderId="62" xfId="0" applyFont="1" applyFill="1" applyBorder="1" applyAlignment="1">
      <alignment vertical="center"/>
    </xf>
    <xf numFmtId="0" fontId="58" fillId="23" borderId="62" xfId="0" applyFont="1" applyFill="1" applyBorder="1" applyAlignment="1">
      <alignment vertical="center"/>
    </xf>
    <xf numFmtId="0" fontId="95" fillId="7" borderId="161" xfId="0" applyFont="1" applyFill="1" applyBorder="1" applyAlignment="1" applyProtection="1">
      <alignment horizontal="center" vertical="center"/>
      <protection locked="0"/>
    </xf>
    <xf numFmtId="0" fontId="95" fillId="7" borderId="163" xfId="0" applyFont="1" applyFill="1" applyBorder="1" applyAlignment="1" applyProtection="1">
      <alignment horizontal="center" vertical="center"/>
      <protection locked="0"/>
    </xf>
    <xf numFmtId="0" fontId="0" fillId="23" borderId="0" xfId="0" applyFill="1" applyAlignment="1">
      <alignment vertical="center"/>
    </xf>
    <xf numFmtId="0" fontId="95" fillId="7" borderId="137" xfId="0" applyFont="1" applyFill="1" applyBorder="1" applyAlignment="1" applyProtection="1">
      <alignment vertical="center"/>
      <protection locked="0"/>
    </xf>
    <xf numFmtId="0" fontId="95" fillId="7" borderId="138" xfId="0" applyFont="1" applyFill="1" applyBorder="1" applyAlignment="1" applyProtection="1">
      <alignment vertical="center"/>
      <protection locked="0"/>
    </xf>
    <xf numFmtId="0" fontId="142" fillId="23" borderId="0" xfId="0" applyFont="1" applyFill="1" applyAlignment="1">
      <alignment horizontal="right" vertical="center"/>
    </xf>
    <xf numFmtId="0" fontId="31" fillId="19" borderId="0" xfId="0" applyFont="1" applyFill="1" applyAlignment="1">
      <alignment horizontal="right" vertical="center"/>
    </xf>
    <xf numFmtId="0" fontId="142" fillId="23" borderId="119" xfId="0" applyFont="1" applyFill="1" applyBorder="1" applyAlignment="1">
      <alignment horizontal="right"/>
    </xf>
    <xf numFmtId="0" fontId="142" fillId="23" borderId="62" xfId="0" applyFont="1" applyFill="1" applyBorder="1" applyAlignment="1">
      <alignment horizontal="right"/>
    </xf>
    <xf numFmtId="0" fontId="3" fillId="23" borderId="119" xfId="0" applyFont="1" applyFill="1" applyBorder="1" applyAlignment="1">
      <alignment vertical="center"/>
    </xf>
    <xf numFmtId="3" fontId="95" fillId="23" borderId="136" xfId="0" applyNumberFormat="1" applyFont="1" applyFill="1" applyBorder="1" applyAlignment="1">
      <alignment vertical="center"/>
    </xf>
    <xf numFmtId="3" fontId="95" fillId="23" borderId="137" xfId="0" applyNumberFormat="1" applyFont="1" applyFill="1" applyBorder="1" applyAlignment="1">
      <alignment vertical="center"/>
    </xf>
    <xf numFmtId="3" fontId="95" fillId="23" borderId="138" xfId="0" applyNumberFormat="1" applyFont="1" applyFill="1" applyBorder="1" applyAlignment="1">
      <alignment vertical="center"/>
    </xf>
    <xf numFmtId="0" fontId="95" fillId="7" borderId="136" xfId="0" applyFont="1" applyFill="1" applyBorder="1" applyAlignment="1" applyProtection="1">
      <alignment horizontal="center" vertical="center"/>
      <protection locked="0"/>
    </xf>
    <xf numFmtId="0" fontId="95" fillId="7" borderId="138" xfId="0" applyFont="1" applyFill="1" applyBorder="1" applyAlignment="1" applyProtection="1">
      <alignment horizontal="center" vertical="center"/>
      <protection locked="0"/>
    </xf>
    <xf numFmtId="14" fontId="95" fillId="7" borderId="89" xfId="0" applyNumberFormat="1" applyFont="1" applyFill="1" applyBorder="1" applyAlignment="1" applyProtection="1">
      <alignment horizontal="center" vertical="center"/>
      <protection locked="0"/>
    </xf>
    <xf numFmtId="0" fontId="0" fillId="0" borderId="66" xfId="0" applyBorder="1" applyAlignment="1">
      <alignment horizontal="center" vertical="center"/>
    </xf>
    <xf numFmtId="0" fontId="0" fillId="0" borderId="91" xfId="0" applyBorder="1" applyAlignment="1">
      <alignment horizontal="center" vertical="center"/>
    </xf>
    <xf numFmtId="0" fontId="0" fillId="0" borderId="92" xfId="0" applyBorder="1"/>
    <xf numFmtId="0" fontId="0" fillId="0" borderId="84" xfId="0" applyBorder="1"/>
    <xf numFmtId="0" fontId="0" fillId="0" borderId="90" xfId="0" applyBorder="1"/>
    <xf numFmtId="0" fontId="0" fillId="7" borderId="61" xfId="0" applyFill="1" applyBorder="1"/>
    <xf numFmtId="0" fontId="0" fillId="7" borderId="62" xfId="0" applyFill="1" applyBorder="1"/>
    <xf numFmtId="0" fontId="91" fillId="7" borderId="92" xfId="0" applyFont="1" applyFill="1" applyBorder="1" applyAlignment="1">
      <alignment horizontal="center"/>
    </xf>
    <xf numFmtId="0" fontId="91" fillId="7" borderId="66" xfId="0" applyFont="1" applyFill="1" applyBorder="1" applyAlignment="1">
      <alignment horizontal="center"/>
    </xf>
    <xf numFmtId="0" fontId="0" fillId="0" borderId="66" xfId="0" applyBorder="1"/>
    <xf numFmtId="0" fontId="91" fillId="7" borderId="0" xfId="0" applyFont="1" applyFill="1" applyAlignment="1">
      <alignment horizontal="center"/>
    </xf>
    <xf numFmtId="0" fontId="0" fillId="0" borderId="87" xfId="0" applyBorder="1" applyAlignment="1">
      <alignment vertical="center"/>
    </xf>
    <xf numFmtId="0" fontId="0" fillId="0" borderId="88" xfId="0" applyBorder="1" applyAlignment="1">
      <alignment vertical="center"/>
    </xf>
    <xf numFmtId="0" fontId="79" fillId="7" borderId="61" xfId="0" applyFont="1" applyFill="1" applyBorder="1" applyAlignment="1">
      <alignment vertical="center" wrapText="1"/>
    </xf>
    <xf numFmtId="0" fontId="0" fillId="0" borderId="61" xfId="0" applyBorder="1"/>
    <xf numFmtId="0" fontId="79" fillId="7" borderId="89" xfId="0" applyFont="1" applyFill="1" applyBorder="1" applyAlignment="1" applyProtection="1">
      <alignment horizontal="center"/>
      <protection locked="0"/>
    </xf>
    <xf numFmtId="0" fontId="79" fillId="7" borderId="66" xfId="0" applyFont="1" applyFill="1" applyBorder="1" applyAlignment="1" applyProtection="1">
      <alignment horizontal="center"/>
      <protection locked="0"/>
    </xf>
    <xf numFmtId="0" fontId="79" fillId="7" borderId="91" xfId="0" applyFont="1" applyFill="1" applyBorder="1" applyAlignment="1" applyProtection="1">
      <alignment horizontal="center"/>
      <protection locked="0"/>
    </xf>
    <xf numFmtId="0" fontId="79" fillId="7" borderId="61" xfId="0" applyFont="1" applyFill="1" applyBorder="1" applyAlignment="1" applyProtection="1">
      <alignment horizontal="center"/>
      <protection locked="0"/>
    </xf>
    <xf numFmtId="0" fontId="79" fillId="7" borderId="0" xfId="0" applyFont="1" applyFill="1" applyAlignment="1" applyProtection="1">
      <alignment horizontal="center"/>
      <protection locked="0"/>
    </xf>
    <xf numFmtId="0" fontId="79" fillId="7" borderId="62" xfId="0" applyFont="1" applyFill="1" applyBorder="1" applyAlignment="1" applyProtection="1">
      <alignment horizontal="center"/>
      <protection locked="0"/>
    </xf>
    <xf numFmtId="0" fontId="79" fillId="7" borderId="92" xfId="0" applyFont="1" applyFill="1" applyBorder="1" applyAlignment="1" applyProtection="1">
      <alignment horizontal="center"/>
      <protection locked="0"/>
    </xf>
    <xf numFmtId="0" fontId="79" fillId="7" borderId="84" xfId="0" applyFont="1" applyFill="1" applyBorder="1" applyAlignment="1" applyProtection="1">
      <alignment horizontal="center"/>
      <protection locked="0"/>
    </xf>
    <xf numFmtId="0" fontId="79" fillId="7" borderId="90" xfId="0" applyFont="1" applyFill="1" applyBorder="1" applyAlignment="1" applyProtection="1">
      <alignment horizontal="center"/>
      <protection locked="0"/>
    </xf>
    <xf numFmtId="0" fontId="62" fillId="7" borderId="0" xfId="0" applyFont="1" applyFill="1" applyAlignment="1">
      <alignment horizontal="center"/>
    </xf>
    <xf numFmtId="0" fontId="69" fillId="7" borderId="0" xfId="0" applyFont="1" applyFill="1" applyAlignment="1">
      <alignment horizontal="center"/>
    </xf>
    <xf numFmtId="0" fontId="2" fillId="37" borderId="159" xfId="0" applyFont="1" applyFill="1" applyBorder="1" applyAlignment="1">
      <alignment vertical="center"/>
    </xf>
    <xf numFmtId="0" fontId="2" fillId="37" borderId="129" xfId="0" applyFont="1" applyFill="1" applyBorder="1" applyAlignment="1">
      <alignment vertical="center"/>
    </xf>
    <xf numFmtId="0" fontId="2" fillId="37" borderId="84" xfId="0" applyFont="1" applyFill="1" applyBorder="1" applyAlignment="1">
      <alignment vertical="center"/>
    </xf>
    <xf numFmtId="0" fontId="3" fillId="21" borderId="129" xfId="0" applyFont="1" applyFill="1" applyBorder="1" applyAlignment="1">
      <alignment vertical="center"/>
    </xf>
    <xf numFmtId="0" fontId="3" fillId="21" borderId="130" xfId="0" applyFont="1" applyFill="1" applyBorder="1" applyAlignment="1">
      <alignment vertical="center"/>
    </xf>
    <xf numFmtId="0" fontId="142" fillId="23" borderId="155" xfId="0" applyFont="1" applyFill="1" applyBorder="1" applyAlignment="1">
      <alignment horizontal="right" vertical="center"/>
    </xf>
    <xf numFmtId="0" fontId="142" fillId="23" borderId="119" xfId="0" applyFont="1" applyFill="1" applyBorder="1" applyAlignment="1">
      <alignment horizontal="right" vertical="center"/>
    </xf>
    <xf numFmtId="0" fontId="142" fillId="23" borderId="62" xfId="0" applyFont="1" applyFill="1" applyBorder="1" applyAlignment="1">
      <alignment horizontal="right" vertical="center"/>
    </xf>
    <xf numFmtId="0" fontId="0" fillId="23" borderId="155" xfId="0" applyFill="1" applyBorder="1" applyAlignment="1">
      <alignment vertical="center"/>
    </xf>
    <xf numFmtId="0" fontId="99" fillId="23" borderId="0" xfId="0" applyFont="1" applyFill="1" applyAlignment="1">
      <alignment vertical="center"/>
    </xf>
    <xf numFmtId="0" fontId="99" fillId="23" borderId="62" xfId="0" applyFont="1" applyFill="1" applyBorder="1" applyAlignment="1">
      <alignment vertical="center"/>
    </xf>
    <xf numFmtId="0" fontId="142" fillId="23" borderId="0" xfId="0" applyFont="1" applyFill="1" applyAlignment="1">
      <alignment horizontal="left" vertical="center"/>
    </xf>
    <xf numFmtId="0" fontId="58" fillId="23" borderId="143" xfId="0" applyFont="1" applyFill="1" applyBorder="1" applyAlignment="1">
      <alignment vertical="center"/>
    </xf>
    <xf numFmtId="0" fontId="3" fillId="19" borderId="144" xfId="0" applyFont="1" applyFill="1" applyBorder="1" applyAlignment="1">
      <alignment vertical="center"/>
    </xf>
    <xf numFmtId="49" fontId="58" fillId="23" borderId="0" xfId="0" applyNumberFormat="1" applyFont="1" applyFill="1" applyAlignment="1">
      <alignment horizontal="right"/>
    </xf>
    <xf numFmtId="0" fontId="58" fillId="19" borderId="0" xfId="0" applyFont="1" applyFill="1" applyAlignment="1">
      <alignment horizontal="right"/>
    </xf>
    <xf numFmtId="49" fontId="162" fillId="7" borderId="136" xfId="0" applyNumberFormat="1" applyFont="1" applyFill="1" applyBorder="1" applyAlignment="1" applyProtection="1">
      <alignment horizontal="center" vertical="center"/>
      <protection locked="0"/>
    </xf>
    <xf numFmtId="49" fontId="95" fillId="0" borderId="137" xfId="0" applyNumberFormat="1" applyFont="1" applyBorder="1" applyAlignment="1" applyProtection="1">
      <alignment horizontal="center" vertical="center"/>
      <protection locked="0"/>
    </xf>
    <xf numFmtId="49" fontId="95" fillId="0" borderId="138" xfId="0" applyNumberFormat="1" applyFont="1" applyBorder="1" applyAlignment="1" applyProtection="1">
      <alignment horizontal="center" vertical="center"/>
      <protection locked="0"/>
    </xf>
    <xf numFmtId="0" fontId="3" fillId="23" borderId="155" xfId="0" applyFont="1" applyFill="1" applyBorder="1"/>
    <xf numFmtId="0" fontId="0" fillId="23" borderId="121" xfId="0" applyFill="1" applyBorder="1" applyAlignment="1">
      <alignment vertical="center"/>
    </xf>
    <xf numFmtId="0" fontId="0" fillId="19" borderId="122" xfId="0" applyFill="1" applyBorder="1" applyAlignment="1">
      <alignment vertical="center"/>
    </xf>
    <xf numFmtId="0" fontId="0" fillId="19" borderId="157" xfId="0" applyFill="1" applyBorder="1" applyAlignment="1">
      <alignment vertical="center"/>
    </xf>
    <xf numFmtId="4" fontId="95" fillId="23" borderId="161" xfId="0" applyNumberFormat="1" applyFont="1" applyFill="1" applyBorder="1" applyAlignment="1">
      <alignment vertical="center"/>
    </xf>
    <xf numFmtId="0" fontId="0" fillId="19" borderId="162" xfId="0" applyFill="1" applyBorder="1" applyAlignment="1">
      <alignment vertical="center"/>
    </xf>
    <xf numFmtId="0" fontId="0" fillId="19" borderId="163" xfId="0" applyFill="1" applyBorder="1" applyAlignment="1">
      <alignment vertical="center"/>
    </xf>
    <xf numFmtId="0" fontId="11" fillId="23" borderId="0" xfId="0" applyFont="1" applyFill="1" applyAlignment="1">
      <alignment vertical="center"/>
    </xf>
    <xf numFmtId="0" fontId="2" fillId="23" borderId="62" xfId="0" applyFont="1" applyFill="1" applyBorder="1" applyAlignment="1">
      <alignment vertical="center"/>
    </xf>
    <xf numFmtId="0" fontId="31" fillId="19" borderId="0" xfId="0" applyFont="1" applyFill="1" applyAlignment="1">
      <alignment horizontal="right"/>
    </xf>
    <xf numFmtId="0" fontId="11" fillId="23" borderId="0" xfId="0" applyFont="1" applyFill="1"/>
    <xf numFmtId="0" fontId="3" fillId="19" borderId="144" xfId="0" applyFont="1" applyFill="1" applyBorder="1"/>
    <xf numFmtId="0" fontId="0" fillId="23" borderId="0" xfId="0" applyFill="1"/>
    <xf numFmtId="0" fontId="0" fillId="23" borderId="143" xfId="0" applyFill="1" applyBorder="1"/>
    <xf numFmtId="0" fontId="58" fillId="23" borderId="0" xfId="0" applyFont="1" applyFill="1" applyAlignment="1">
      <alignment horizontal="right"/>
    </xf>
    <xf numFmtId="0" fontId="3" fillId="19" borderId="0" xfId="0" applyFont="1" applyFill="1" applyAlignment="1">
      <alignment horizontal="right"/>
    </xf>
    <xf numFmtId="0" fontId="0" fillId="7" borderId="168" xfId="0" applyFill="1" applyBorder="1"/>
    <xf numFmtId="0" fontId="11" fillId="23" borderId="0" xfId="0" applyFont="1" applyFill="1" applyAlignment="1">
      <alignment wrapText="1"/>
    </xf>
    <xf numFmtId="0" fontId="142" fillId="19" borderId="119" xfId="0" applyFont="1" applyFill="1" applyBorder="1" applyAlignment="1">
      <alignment vertical="center"/>
    </xf>
    <xf numFmtId="0" fontId="0" fillId="0" borderId="121" xfId="0" applyBorder="1"/>
    <xf numFmtId="0" fontId="68" fillId="36" borderId="0" xfId="0" applyFont="1" applyFill="1" applyAlignment="1">
      <alignment horizontal="center" vertical="center" wrapText="1"/>
    </xf>
    <xf numFmtId="0" fontId="0" fillId="0" borderId="0" xfId="0" applyAlignment="1">
      <alignment horizontal="center" vertical="center" wrapText="1"/>
    </xf>
    <xf numFmtId="0" fontId="29" fillId="22" borderId="0" xfId="0" applyFont="1" applyFill="1" applyAlignment="1">
      <alignment horizontal="left" vertical="center" wrapText="1"/>
    </xf>
    <xf numFmtId="0" fontId="11" fillId="0" borderId="0" xfId="0" applyFont="1" applyAlignment="1">
      <alignment horizontal="left" vertical="center" wrapText="1"/>
    </xf>
    <xf numFmtId="0" fontId="15" fillId="3" borderId="0" xfId="0" applyFont="1" applyFill="1" applyAlignment="1">
      <alignment vertical="center" wrapText="1"/>
    </xf>
    <xf numFmtId="0" fontId="160" fillId="3" borderId="0" xfId="0" applyFont="1" applyFill="1" applyAlignment="1">
      <alignment vertical="center" wrapText="1"/>
    </xf>
    <xf numFmtId="0" fontId="81" fillId="0" borderId="0" xfId="0" applyFont="1" applyAlignment="1">
      <alignment vertical="center" wrapText="1"/>
    </xf>
    <xf numFmtId="165" fontId="29" fillId="22" borderId="0" xfId="0" applyNumberFormat="1" applyFont="1" applyFill="1" applyAlignment="1">
      <alignment horizontal="center" vertical="center"/>
    </xf>
    <xf numFmtId="0" fontId="36" fillId="22" borderId="0" xfId="0" applyFont="1" applyFill="1" applyAlignment="1">
      <alignment horizontal="center" vertical="center"/>
    </xf>
    <xf numFmtId="0" fontId="33" fillId="22" borderId="0" xfId="0" applyFont="1" applyFill="1" applyAlignment="1">
      <alignment horizontal="center" vertical="center"/>
    </xf>
    <xf numFmtId="0" fontId="0" fillId="22" borderId="0" xfId="0" applyFill="1" applyAlignment="1">
      <alignment horizontal="center" vertical="center"/>
    </xf>
    <xf numFmtId="168" fontId="5" fillId="3" borderId="103" xfId="0" applyNumberFormat="1" applyFont="1" applyFill="1" applyBorder="1" applyAlignment="1">
      <alignment horizontal="center" vertical="center"/>
    </xf>
    <xf numFmtId="0" fontId="0" fillId="0" borderId="103" xfId="0" applyBorder="1" applyAlignment="1">
      <alignment vertical="center"/>
    </xf>
    <xf numFmtId="0" fontId="0" fillId="0" borderId="1" xfId="0" applyBorder="1" applyAlignment="1">
      <alignment vertical="center"/>
    </xf>
    <xf numFmtId="0" fontId="6" fillId="3" borderId="28" xfId="0" applyFont="1" applyFill="1" applyBorder="1" applyAlignment="1">
      <alignment vertical="center"/>
    </xf>
    <xf numFmtId="0" fontId="0" fillId="0" borderId="27" xfId="0"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0" fillId="0" borderId="3" xfId="0" applyBorder="1" applyAlignment="1">
      <alignment vertical="center"/>
    </xf>
    <xf numFmtId="0" fontId="6" fillId="3" borderId="27" xfId="0" applyFont="1" applyFill="1" applyBorder="1" applyAlignment="1">
      <alignment horizontal="center" vertical="center"/>
    </xf>
    <xf numFmtId="0" fontId="2" fillId="0" borderId="27" xfId="0" applyFont="1" applyBorder="1" applyAlignment="1">
      <alignment vertical="center"/>
    </xf>
    <xf numFmtId="0" fontId="2" fillId="0" borderId="36" xfId="0" applyFont="1" applyBorder="1" applyAlignment="1">
      <alignment vertical="center"/>
    </xf>
    <xf numFmtId="168" fontId="3" fillId="3" borderId="103" xfId="0" applyNumberFormat="1" applyFont="1" applyFill="1" applyBorder="1" applyAlignment="1">
      <alignment horizontal="center" vertical="center"/>
    </xf>
    <xf numFmtId="14" fontId="5" fillId="2" borderId="3" xfId="0" applyNumberFormat="1" applyFont="1" applyFill="1" applyBorder="1" applyAlignment="1" applyProtection="1">
      <alignment horizontal="center" vertical="center"/>
      <protection locked="0"/>
    </xf>
    <xf numFmtId="14" fontId="0" fillId="0" borderId="3" xfId="0" applyNumberFormat="1" applyBorder="1" applyAlignment="1">
      <alignment vertical="center"/>
    </xf>
    <xf numFmtId="14" fontId="0" fillId="0" borderId="9" xfId="0" applyNumberFormat="1" applyBorder="1" applyAlignment="1">
      <alignment vertical="center"/>
    </xf>
    <xf numFmtId="0" fontId="30" fillId="3" borderId="0" xfId="10" applyFont="1" applyFill="1" applyAlignment="1">
      <alignment horizontal="center" wrapText="1"/>
    </xf>
    <xf numFmtId="0" fontId="140" fillId="6" borderId="0" xfId="10" applyFont="1" applyFill="1" applyAlignment="1">
      <alignment horizontal="center" wrapText="1"/>
    </xf>
    <xf numFmtId="0" fontId="10" fillId="3" borderId="0" xfId="10" applyFont="1" applyFill="1" applyAlignment="1">
      <alignment horizontal="center" wrapText="1"/>
    </xf>
    <xf numFmtId="0" fontId="30" fillId="3" borderId="0" xfId="10" applyFont="1" applyFill="1" applyAlignment="1">
      <alignment horizontal="left" vertical="center" wrapText="1"/>
    </xf>
    <xf numFmtId="0" fontId="139" fillId="3" borderId="0" xfId="10" applyFont="1" applyFill="1" applyAlignment="1">
      <alignment horizontal="left" vertical="center" wrapText="1"/>
    </xf>
    <xf numFmtId="0" fontId="89" fillId="3" borderId="0" xfId="0" applyFont="1" applyFill="1" applyAlignment="1">
      <alignment horizontal="left" wrapText="1" shrinkToFit="1"/>
    </xf>
    <xf numFmtId="0" fontId="122" fillId="7" borderId="0" xfId="0" applyFont="1" applyFill="1"/>
    <xf numFmtId="0" fontId="52" fillId="7" borderId="0" xfId="5" applyFill="1" applyAlignment="1" applyProtection="1"/>
  </cellXfs>
  <cellStyles count="14">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9" xr:uid="{00000000-0005-0000-0000-000005000000}"/>
    <cellStyle name="Hypertextový odkaz_ZAKL_DATA" xfId="6" xr:uid="{00000000-0005-0000-0000-000006000000}"/>
    <cellStyle name="normal" xfId="13" xr:uid="{00000000-0005-0000-0000-000008000000}"/>
    <cellStyle name="Normální" xfId="0" builtinId="0"/>
    <cellStyle name="normální 2" xfId="8" xr:uid="{00000000-0005-0000-0000-00000A000000}"/>
    <cellStyle name="Normální 3" xfId="7" xr:uid="{00000000-0005-0000-0000-00000B000000}"/>
    <cellStyle name="Normální 4" xfId="10" xr:uid="{00000000-0005-0000-0000-00000C000000}"/>
    <cellStyle name="Normální 5" xfId="11" xr:uid="{00000000-0005-0000-0000-00000D000000}"/>
    <cellStyle name="Špatně" xfId="12" builtinId="27"/>
  </cellStyles>
  <dxfs count="90">
    <dxf>
      <font>
        <b val="0"/>
        <i val="0"/>
        <strike val="0"/>
        <condense val="0"/>
        <extend val="0"/>
        <outline val="0"/>
        <shadow val="0"/>
        <u val="none"/>
        <vertAlign val="baseline"/>
        <sz val="11"/>
        <color rgb="FF000000"/>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3" formatCode="#,##0"/>
    </dxf>
    <dxf>
      <font>
        <name val="Tahoma"/>
      </font>
      <numFmt numFmtId="3" formatCode="#,##0"/>
    </dxf>
    <dxf>
      <font>
        <b val="0"/>
        <i val="0"/>
        <strike val="0"/>
        <condense val="0"/>
        <extend val="0"/>
        <outline val="0"/>
        <shadow val="0"/>
        <u val="none"/>
        <vertAlign val="baseline"/>
        <sz val="10"/>
        <color auto="1"/>
        <name val="Tahoma"/>
        <scheme val="none"/>
      </font>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3" formatCode="#,##0"/>
    </dxf>
    <dxf>
      <font>
        <b val="0"/>
        <i val="0"/>
        <strike val="0"/>
        <condense val="0"/>
        <extend val="0"/>
        <outline val="0"/>
        <shadow val="0"/>
        <u val="none"/>
        <vertAlign val="baseline"/>
        <sz val="11"/>
        <color theme="1"/>
        <name val="Tahoma"/>
        <scheme val="none"/>
      </font>
    </dxf>
    <dxf>
      <numFmt numFmtId="3" formatCode="#,##0"/>
    </dxf>
    <dxf>
      <numFmt numFmtId="0" formatCode="General"/>
    </dxf>
    <dxf>
      <numFmt numFmtId="3" formatCode="#,##0"/>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mruColors>
      <color rgb="FFFFFFCC"/>
      <color rgb="FFFFCCCC"/>
      <color rgb="FFFF9999"/>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6">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6"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m_stud" use="optional">
                        <xs:simpleType>
                          <xs:restriction base="xs:decimal">
                            <xs:totalDigits value="2"/>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2021 nebo části zdaňovacího období 2021, ve kterém jste byl/a v paušálním režimu (100 Kč za měsíc), za něž je podáváno DAP. Popřípadě uveďte částku daně stanovené paušální částkou podle § 7a zákona (ve znění platném do 31. 12. 2020), kterou započtete na výslednou daňovou povinnost, podáváte-li DAP podle § 7a odst. 5 zákona (ve znění platném do 31. 12. 2020), tj. v případě, že jste dosáhl (dosáhla) jiných příjmů než předpokládaných.</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29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27 840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2021 nebo části zdaňovacího období 2021,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2021. Údaje zjistíte z „Potvrzení“ vystaveného jednotlivými zaměstnavateli. Pokud podáváte daňové přiznání a již Vám bylo provedeno roční zúčtování u zaměstnavatele, pak se v Potvrzení vzor č. 29 jedná o součet řádku 9 a doplatku na daňovém bonusu z řádku 14.</xs:documentation>
                        </xs:annotation>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2021,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dite_ms"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20"/>
                          </xs:restriction>
                        </xs:simpleType>
                      </xs:attribute>
                    </xs:complexType>
                  </xs:element>
                  <xs:element maxOccurs="1" minOccurs="0" name="VetaO">
                    <xs:complexType>
                      <xs:attribute name="kc_ztrata2" use="optional">
                        <xs:annotation>
                          <xs:documentation>Uveďte úhrn uplatňované pravomocně stanovené ztráty (za zdaňovací období 2021 lze uplatnit ztrátu pravomocně stanovenou za 5 předcházejících zdaňovacích období, tj. za zdaňovací období 2016, 2017, 2018, 2019, 2020; nebo v rámci dodatečného přiznání za zdaňovací období 2021 ztrátu pravomocně stanovenou za 2 následující zdaňovací období, tj. za zdaňovací období 2022, 2023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2021 č. 25 5460 MFin 5460 - vzor č. 29 (dále jen „Potvrzení“) vystaveného jednotlivými zaměstnavateli na základě Vaší žádosti podle § 38j odst. 3 zákona. Zahrnete-li do DAP příjmy, ze kterých byla sražena daň podle § 36 odst. 6 a 7 zákona, jste povinen uvést &lt;strong&gt;veškeré&lt;/strong&gt; tyto příjmy do ř. 31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8 (dále jen „Potvrzení o vyplacených příjmech a sražené dani“). Příjmy uveďte v souladu s § 5 odst. 4 zákona (ve vzoru Potvrzení č. 29 se jedná o součet řádků 2., 4. a ve vzoru Potvrzení o vyplacených příjmech a sražené dani č. 8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2021. Maximální částka, kterou lze odečíst za zdaňovací období 2021, činí v úhrnu 24 000 Kč.</xs:documentation>
                        </xs:annotation>
                        <xs:simpleType>
                          <xs:restriction base="xs:decimal">
                            <xs:totalDigits value="14"/>
                            <xs:fractionDigits value="0"/>
                          </xs:restriction>
                        </xs:simpleType>
                      </xs:attribute>
                      <xs:attribute name="kc_op15_14" use="optional">
                        <xs:annotation>
                          <xs:documentation>Uveďte uplatňovanou výši zaplacených členských příspěvků ve zdaňovacím období 2021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zákona, s výjimkou příjmů podle § 6 zákona zdaněných srážkou podle zvláštní sazby daně, maximálně však do výše 3 000 Kč za zdaňovací období 2021.</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dalsivzd" use="optional">
                        <xs:annotation>
                          <xs:documentation>Uveďte uplatňovanou výši úhrady za zkoušky ověřující výsledky dalšího vzdělávání podle zákona č. 179/2006 Sb., o ověřování a uznávání výsledků dalšího vzdělávání a o změně některých zákonů (zákon o uznávání výsledků dalšího vzdělávání), ve znění pozdějších předpisů, max. však do výše 10 000 Kč za zdaňovací období 2021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2021 nebo uplatňovanou výši plateb příspěvků, kterou jste zaplatil (zaplatila) na penzijní pojištění, uvedenou v potvrzení instituce penzijního pojištění o zaplacených příspěvcích na penzijní pojištění na zdaňovací období 2021.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2021, celkem činí 24 000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2021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48násobku průměrné mzdy a 23 % pro část základu daně přesahující 48násobek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otv_dalsivzd" use="optional">
                        <xs:annotation>
                          <xs:documentation>Vložte danou přílohu.</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ms" use="optional">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kc_prij7" use="optional">
                        <xs:annotation>
                          <xs:documentation>Do řádku vyplňte úhrn příjmů ze samostatné činnosti (§ 7 zákona) ovlivňujících základ daně z příjmů fyzických osob podle zákona k 31. 12. 2021.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ukoncin" type="dateInMultiFormat" use="optional">
                        <xs:annotation>
                          <xs:documentation>Uveďte datum skutečného ukončení činnosti.</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2021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2021.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2021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2020 uplatnil výdaje v prokázané výši a ve zdaňovacím období 2021 chcete uplatnit výdaje procentem z příjmů, upravte výsledek hospodaření nebo rozdíl mezi příjmy a výdaji za zdaňovací období 2020 podle § 23 odst. 8 zákona prostřednictvím dodatečného daňového přiznání za zdaňovací období roku 2020.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2021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2021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4"/>
                            <xs:fractionDigits value="0"/>
                          </xs:restriction>
                        </xs:simpleType>
                      </xs:attribute>
                      <xs:attribute name="da_samzakl4"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7" use="optional">
                        <xs:simpleType>
                          <xs:restriction base="xs:decimal">
                            <xs:totalDigits value="14"/>
                            <xs:fractionDigits value="0"/>
                          </xs:restriction>
                        </xs:simpleType>
                      </xs:attribute>
                    </xs:complexType>
                  </xs:element>
                  <xs:element maxOccurs="unbounded" minOccurs="0" name="VetaT6">
                    <xs:complexType>
                      <xs:attribute name="pom15_8"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POTVMS|PP_POTZASD|PP_DALSIVZ|PP_POTDAZV|PP_UCETZAV|PP_POTV36|PP_DAR|PP_POTUVER|PP_POTPENZ|PP_POTLOTO|PP_OPISPUV|PP_POTPRIJ|PP_POTZIVP|PP_VKLAKU){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7" Name="dpfdp6_epo2_010101" RootElement="Pisemnost"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577C0152-EB92-49A6-A33C-61D8064AF3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6056" cy="10075545"/>
    <xdr:pic>
      <xdr:nvPicPr>
        <xdr:cNvPr id="3" name="Obrázek 2">
          <a:extLst>
            <a:ext uri="{FF2B5EF4-FFF2-40B4-BE49-F238E27FC236}">
              <a16:creationId xmlns:a16="http://schemas.microsoft.com/office/drawing/2014/main" id="{7F260844-4591-45D5-B5F5-14E53270DD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100755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29</xdr:col>
      <xdr:colOff>0</xdr:colOff>
      <xdr:row>0</xdr:row>
      <xdr:rowOff>28575</xdr:rowOff>
    </xdr:from>
    <xdr:to>
      <xdr:col>31</xdr:col>
      <xdr:colOff>142875</xdr:colOff>
      <xdr:row>3</xdr:row>
      <xdr:rowOff>101099</xdr:rowOff>
    </xdr:to>
    <xdr:pic>
      <xdr:nvPicPr>
        <xdr:cNvPr id="5" name="Obrázek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28575"/>
          <a:ext cx="628650" cy="62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92281</xdr:colOff>
      <xdr:row>0</xdr:row>
      <xdr:rowOff>38100</xdr:rowOff>
    </xdr:from>
    <xdr:to>
      <xdr:col>40</xdr:col>
      <xdr:colOff>114300</xdr:colOff>
      <xdr:row>2</xdr:row>
      <xdr:rowOff>152400</xdr:rowOff>
    </xdr:to>
    <xdr:pic>
      <xdr:nvPicPr>
        <xdr:cNvPr id="4" name="Obrázek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6006" y="38100"/>
          <a:ext cx="507794"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4" y="28575"/>
          <a:ext cx="5429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4" y="28575"/>
          <a:ext cx="5429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15</xdr:col>
      <xdr:colOff>0</xdr:colOff>
      <xdr:row>3</xdr:row>
      <xdr:rowOff>38100</xdr:rowOff>
    </xdr:to>
    <xdr:pic>
      <xdr:nvPicPr>
        <xdr:cNvPr id="17428" name="Picture 3">
          <a:extLst>
            <a:ext uri="{FF2B5EF4-FFF2-40B4-BE49-F238E27FC236}">
              <a16:creationId xmlns:a16="http://schemas.microsoft.com/office/drawing/2014/main" id="{00000000-0008-0000-1800-000014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
          <a:ext cx="2752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56</xdr:row>
      <xdr:rowOff>0</xdr:rowOff>
    </xdr:from>
    <xdr:to>
      <xdr:col>13</xdr:col>
      <xdr:colOff>47625</xdr:colOff>
      <xdr:row>59</xdr:row>
      <xdr:rowOff>832</xdr:rowOff>
    </xdr:to>
    <xdr:pic>
      <xdr:nvPicPr>
        <xdr:cNvPr id="4" name="Obrázek 3">
          <a:extLst>
            <a:ext uri="{FF2B5EF4-FFF2-40B4-BE49-F238E27FC236}">
              <a16:creationId xmlns:a16="http://schemas.microsoft.com/office/drawing/2014/main" id="{613CA162-F1DE-CABD-D720-26B9241E5C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0" y="11182350"/>
          <a:ext cx="1638300" cy="4294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152400</xdr:colOff>
      <xdr:row>56</xdr:row>
      <xdr:rowOff>9525</xdr:rowOff>
    </xdr:from>
    <xdr:to>
      <xdr:col>13</xdr:col>
      <xdr:colOff>19050</xdr:colOff>
      <xdr:row>59</xdr:row>
      <xdr:rowOff>1295</xdr:rowOff>
    </xdr:to>
    <xdr:pic>
      <xdr:nvPicPr>
        <xdr:cNvPr id="4" name="Obrázek 3">
          <a:extLst>
            <a:ext uri="{FF2B5EF4-FFF2-40B4-BE49-F238E27FC236}">
              <a16:creationId xmlns:a16="http://schemas.microsoft.com/office/drawing/2014/main" id="{8FEEB7E1-87EB-3167-0317-6A9F1D8BDD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11153775"/>
          <a:ext cx="1676400" cy="439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vit-my.sharepoint.com/Data/NAHRANI/PRIZNANI/DzPPO14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vit-my.sharepoint.com/Data/NAHRANI/PRIZNANI/DzPFOB15_xm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RIZNANI/TODO/NAHRANI/DzPFOB21_xm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vit-my.sharepoint.com/Data/NAHRANI/PRIZNANI/TODO/ROZDELANO/DzPUCZ17_xml.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bory%20&#269;innosti"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inan&#269;n&#237;%20&#250;&#345;ady"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D:\DATA\PRIZNANI\TODO\NAHRANI\DzPUCZ22_xml.xlsx" TargetMode="External"/><Relationship Id="rId1" Type="http://schemas.openxmlformats.org/officeDocument/2006/relationships/externalLinkPath" Target="/DATA/PRIZNANI/TODO/NAHRANI/DzPUCZ22_xm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PRIZNANI/DzPPO21_xm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ata\NAHRANI\PRIZNANI\TODO\DzPFOB17_xm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ory činnosti"/>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ční úřady"/>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00000000}" name="Tabulka170" displayName="Tabulka170" ref="R1:AA5" tableType="xml" totalsRowShown="0" headerRowDxfId="89">
  <autoFilter ref="R1:AA5" xr:uid="{00000000-0009-0000-0100-0000AA000000}"/>
  <tableColumns count="10">
    <tableColumn id="1" xr3:uid="{00000000-0010-0000-0000-000001000000}" uniqueName="vyzdite_d_nar" name="vyzdite_d_nar" dataDxfId="88">
      <calculatedColumnFormula>IF('DAP3'!D17&lt;&gt;"",CONCATENATE(MID('DAP3'!D17,5,2),".",IF(VALUE(MID('DAP3'!D17,3,2))&lt;13,MID('DAP3'!D17,3,2),MID('DAP3'!D17,3,2)-50),".",IF(MID('DAP3'!D17,1,2)&lt;"50","20","19"),MID('DAP3'!D17,1,2)),"")</calculatedColumnFormula>
      <xmlColumnPr mapId="7" xpath="/Pisemnost/DPFDP6/VetaA/@vyzdite_d_nar" xmlDataType="string"/>
    </tableColumn>
    <tableColumn id="2" xr3:uid="{00000000-0010-0000-0000-000002000000}" uniqueName="vyzdite_jmeno" name="vyzdite_jmeno" dataDxfId="87">
      <calculatedColumnFormula>IF('DAP3'!B17&lt;&gt;"XXX",MID('DAP3'!B17,(FIND(" ",'DAP3'!B17,1))+1,LEN('DAP3'!B17)),"")</calculatedColumnFormula>
      <xmlColumnPr mapId="7" xpath="/Pisemnost/DPFDP6/VetaA/@vyzdite_jmeno" xmlDataType="string"/>
    </tableColumn>
    <tableColumn id="3" xr3:uid="{00000000-0010-0000-0000-000003000000}" uniqueName="vyzdite_pocmes" name="vyzdite_pocmes" dataDxfId="86">
      <calculatedColumnFormula>IF('DAP3'!F17&lt;&gt;"",'DAP3'!F17,"")</calculatedColumnFormula>
      <xmlColumnPr mapId="7" xpath="/Pisemnost/DPFDP6/VetaA/@vyzdite_pocmes" xmlDataType="decimal"/>
    </tableColumn>
    <tableColumn id="4" xr3:uid="{00000000-0010-0000-0000-000004000000}" uniqueName="vyzdite_pocmes2" name="vyzdite_pocmes2" dataDxfId="85">
      <calculatedColumnFormula>IF('DAP3'!H17&lt;&gt;"",'DAP3'!H17,"")</calculatedColumnFormula>
      <xmlColumnPr mapId="7" xpath="/Pisemnost/DPFDP6/VetaA/@vyzdite_pocmes2" xmlDataType="decimal"/>
    </tableColumn>
    <tableColumn id="5" xr3:uid="{00000000-0010-0000-0000-000005000000}" uniqueName="vyzdite_pocmes3" name="vyzdite_pocmes3" dataDxfId="84">
      <calculatedColumnFormula>IF('DAP3'!J17&lt;&gt;"",'DAP3'!J17,"")</calculatedColumnFormula>
      <xmlColumnPr mapId="7" xpath="/Pisemnost/DPFDP6/VetaA/@vyzdite_pocmes3" xmlDataType="decimal"/>
    </tableColumn>
    <tableColumn id="6" xr3:uid="{00000000-0010-0000-0000-000006000000}" uniqueName="vyzdite_prijmeni" name="vyzdite_prijmeni" dataDxfId="83">
      <calculatedColumnFormula>IF('DAP3'!B17&lt;&gt;"XXX",LEFT('DAP3'!B17,(FIND(" ",'DAP3'!B17,1))-1),"")</calculatedColumnFormula>
      <xmlColumnPr mapId="7" xpath="/Pisemnost/DPFDP6/VetaA/@vyzdite_prijmeni" xmlDataType="string"/>
    </tableColumn>
    <tableColumn id="7" xr3:uid="{00000000-0010-0000-0000-000007000000}" uniqueName="vyzdite_r_cislo" name="vyzdite_r_cislo" dataDxfId="82">
      <calculatedColumnFormula>IF('DAP3'!D17&lt;&gt;"",'DAP3'!D17,"")</calculatedColumnFormula>
      <xmlColumnPr mapId="7" xpath="/Pisemnost/DPFDP6/VetaA/@vyzdite_r_cislo" xmlDataType="string"/>
    </tableColumn>
    <tableColumn id="8" xr3:uid="{00000000-0010-0000-0000-000008000000}" uniqueName="vyzdite_ztpp" name="vyzdite_ztpp" dataDxfId="81">
      <calculatedColumnFormula>IF('DAP3'!G17&lt;&gt;"",'DAP3'!G17,"")</calculatedColumnFormula>
      <xmlColumnPr mapId="7" xpath="/Pisemnost/DPFDP6/VetaA/@vyzdite_ztpp" xmlDataType="decimal"/>
    </tableColumn>
    <tableColumn id="9" xr3:uid="{00000000-0010-0000-0000-000009000000}" uniqueName="vyzdite_ztpp2" name="vyzdite_ztpp2" dataDxfId="80">
      <calculatedColumnFormula>IF('DAP3'!I17&lt;&gt;"",'DAP3'!I17,"")</calculatedColumnFormula>
      <xmlColumnPr mapId="7" xpath="/Pisemnost/DPFDP6/VetaA/@vyzdite_ztpp2" xmlDataType="decimal"/>
    </tableColumn>
    <tableColumn id="10" xr3:uid="{00000000-0010-0000-0000-00000A000000}" uniqueName="vyzdite_ztpp3" name="vyzdite_ztpp3" dataDxfId="79">
      <calculatedColumnFormula>IF('DAP3'!K17&lt;&gt;"",'DAP3'!K17,"")</calculatedColumnFormula>
      <xmlColumnPr mapId="7" xpath="/Pisemnost/DPFDP6/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9000000}" name="Tabulka270" displayName="Tabulka270" ref="R110:T111" tableType="xml" insertRow="1" totalsRowShown="0" headerRowDxfId="43">
  <autoFilter ref="R110:T111" xr:uid="{00000000-0009-0000-0100-00000E010000}"/>
  <tableColumns count="3">
    <tableColumn id="1" xr3:uid="{00000000-0010-0000-0900-000001000000}" uniqueName="kod_sekce" name="kod_sekce">
      <xmlColumnPr mapId="7" xpath="/Pisemnost/DPFDP6/VetaR/@kod_sekce" xmlDataType="string"/>
    </tableColumn>
    <tableColumn id="2" xr3:uid="{00000000-0010-0000-0900-000002000000}" uniqueName="poradi" name="poradi">
      <xmlColumnPr mapId="7" xpath="/Pisemnost/DPFDP6/VetaR/@poradi" xmlDataType="decimal"/>
    </tableColumn>
    <tableColumn id="3" xr3:uid="{00000000-0010-0000-0900-000003000000}" uniqueName="t_prilohy" name="t_prilohy">
      <xmlColumnPr mapId="7" xpath="/Pisemnost/DPFDP6/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0A000000}" name="Tabulka272" displayName="Tabulka272" ref="R120:AA121" tableType="xml" totalsRowShown="0" headerRowDxfId="42">
  <autoFilter ref="R120:AA121" xr:uid="{00000000-0009-0000-0100-000010010000}"/>
  <tableColumns count="10">
    <tableColumn id="1" xr3:uid="{00000000-0010-0000-0A00-000001000000}" uniqueName="da_uznzap" name="da_uznzap">
      <calculatedColumnFormula>'3Př_a'!F17</calculatedColumnFormula>
      <xmlColumnPr mapId="7" xpath="/Pisemnost/DPFDP6/VetaL/@da_uznzap" xmlDataType="decimal"/>
    </tableColumn>
    <tableColumn id="2" xr3:uid="{00000000-0010-0000-0A00-000002000000}" uniqueName="da_zahr" name="da_zahr">
      <calculatedColumnFormula>'3Př_a'!F14</calculatedColumnFormula>
      <xmlColumnPr mapId="7" xpath="/Pisemnost/DPFDP6/VetaL/@da_zahr" xmlDataType="decimal"/>
    </tableColumn>
    <tableColumn id="3" xr3:uid="{00000000-0010-0000-0A00-000003000000}" uniqueName="kc_10prij" name="kc_10prij">
      <calculatedColumnFormula>'3Př_a'!F12</calculatedColumnFormula>
      <xmlColumnPr mapId="7" xpath="/Pisemnost/DPFDP6/VetaL/@kc_10prij" xmlDataType="decimal"/>
    </tableColumn>
    <tableColumn id="4" xr3:uid="{00000000-0010-0000-0A00-000004000000}" uniqueName="kc_10vyd" name="kc_10vyd">
      <calculatedColumnFormula>'3Př_a'!F13</calculatedColumnFormula>
      <xmlColumnPr mapId="7" xpath="/Pisemnost/DPFDP6/VetaL/@kc_10vyd" xmlDataType="decimal"/>
    </tableColumn>
    <tableColumn id="5" xr3:uid="{00000000-0010-0000-0A00-000005000000}" uniqueName="kc_k_zapzahr" name="kc_k_zapzahr">
      <calculatedColumnFormula>'3Př_a'!F16</calculatedColumnFormula>
      <xmlColumnPr mapId="7" xpath="/Pisemnost/DPFDP6/VetaL/@kc_k_zapzahr" xmlDataType="decimal"/>
    </tableColumn>
    <tableColumn id="6" xr3:uid="{00000000-0010-0000-0A00-000006000000}" uniqueName="kc_prijzap" name="kc_prijzap">
      <calculatedColumnFormula>'3Př_a'!F12</calculatedColumnFormula>
      <xmlColumnPr mapId="7" xpath="/Pisemnost/DPFDP6/VetaL/@kc_prijzap" xmlDataType="decimal"/>
    </tableColumn>
    <tableColumn id="7" xr3:uid="{00000000-0010-0000-0A00-000007000000}" uniqueName="kc_vydzap" name="kc_vydzap">
      <calculatedColumnFormula>'3Př_a'!F13</calculatedColumnFormula>
      <xmlColumnPr mapId="7" xpath="/Pisemnost/DPFDP6/VetaL/@kc_vydzap" xmlDataType="decimal"/>
    </tableColumn>
    <tableColumn id="8" xr3:uid="{00000000-0010-0000-0A00-000008000000}" uniqueName="kod_statu" name="kod_statu" dataDxfId="41">
      <calculatedColumnFormula>IF('3Př_a'!C8&lt;&gt;"",'3Př_a'!C8,"")</calculatedColumnFormula>
      <xmlColumnPr mapId="7" xpath="/Pisemnost/DPFDP6/VetaL/@kod_statu" xmlDataType="string"/>
    </tableColumn>
    <tableColumn id="9" xr3:uid="{00000000-0010-0000-0A00-000009000000}" uniqueName="proczahr" name="proczahr" dataDxfId="40">
      <calculatedColumnFormula>'3Př_a'!F15*100</calculatedColumnFormula>
      <xmlColumnPr mapId="7" xpath="/Pisemnost/DPFDP6/VetaL/@proczahr" xmlDataType="decimal"/>
    </tableColumn>
    <tableColumn id="10" xr3:uid="{00000000-0010-0000-0A00-00000A000000}" uniqueName="roz_od12" name="roz_od12">
      <calculatedColumnFormula>'3Př_a'!F18</calculatedColumnFormula>
      <xmlColumnPr mapId="7" xpath="/Pisemnost/DPFDP6/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0B000000}" name="Tabulka273" displayName="Tabulka273" ref="R130:V138" tableType="xml" totalsRowShown="0" headerRowDxfId="39">
  <autoFilter ref="R130:V138" xr:uid="{00000000-0009-0000-0100-000011010000}"/>
  <tableColumns count="5">
    <tableColumn id="1" xr3:uid="{00000000-0010-0000-0B00-000001000000}" uniqueName="prilztr_sl1" name="prilztr_sl1" dataDxfId="38">
      <calculatedColumnFormula>IF('6Př'!B12&lt;&gt;"",'6Př'!B12,"")</calculatedColumnFormula>
      <xmlColumnPr mapId="7" xpath="/Pisemnost/DPFDP6/VetaM/@prilztr_sl1" xmlDataType="string"/>
    </tableColumn>
    <tableColumn id="2" xr3:uid="{00000000-0010-0000-0B00-000002000000}" uniqueName="prilztr_sl2" name="prilztr_sl2" dataDxfId="37">
      <calculatedColumnFormula>IF('6Př'!C12&lt;&gt;"",'6Př'!C12,"")</calculatedColumnFormula>
      <xmlColumnPr mapId="7" xpath="/Pisemnost/DPFDP6/VetaM/@prilztr_sl2" xmlDataType="decimal"/>
    </tableColumn>
    <tableColumn id="3" xr3:uid="{00000000-0010-0000-0B00-000003000000}" uniqueName="prilztr_sl3" name="prilztr_sl3" dataDxfId="36">
      <calculatedColumnFormula>IF('6Př'!D12&lt;&gt;"",'6Př'!D12,"")</calculatedColumnFormula>
      <xmlColumnPr mapId="7" xpath="/Pisemnost/DPFDP6/VetaM/@prilztr_sl3" xmlDataType="decimal"/>
    </tableColumn>
    <tableColumn id="4" xr3:uid="{00000000-0010-0000-0B00-000004000000}" uniqueName="prilztr_sl4" name="prilztr_sl4" dataDxfId="35">
      <calculatedColumnFormula>IF('6Př'!E12&lt;&gt;"",'6Př'!E12,"")</calculatedColumnFormula>
      <xmlColumnPr mapId="7" xpath="/Pisemnost/DPFDP6/VetaM/@prilztr_sl4" xmlDataType="decimal"/>
    </tableColumn>
    <tableColumn id="5" xr3:uid="{00000000-0010-0000-0B00-000005000000}" uniqueName="prilztr_sl5" name="prilztr_sl5" dataDxfId="34">
      <calculatedColumnFormula>IF('6Př'!F12&lt;&gt;"",'6Př'!F12,"")</calculatedColumnFormula>
      <xmlColumnPr mapId="7" xpath="/Pisemnost/DPFDP6/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C000000}" name="Tabulka307" displayName="Tabulka307" ref="R143:W144" tableType="xml" insertRow="1" totalsRowShown="0" headerRowDxfId="33">
  <autoFilter ref="R143:W144" xr:uid="{00000000-0009-0000-0100-000033010000}"/>
  <tableColumns count="6">
    <tableColumn id="1" xr3:uid="{00000000-0010-0000-0C00-000001000000}" uniqueName="kc_prij6p" name="kc_poj6p"/>
    <tableColumn id="2" xr3:uid="{00000000-0010-0000-0C00-000002000000}" uniqueName="kc_prij6p" name="kc_prij6p">
      <xmlColumnPr mapId="7" xpath="/Pisemnost/DPFDP6/Vetab/@kc_prij6p" xmlDataType="decimal"/>
    </tableColumn>
    <tableColumn id="3" xr3:uid="{00000000-0010-0000-0C00-000003000000}" uniqueName="kc_srazp" name="kc_srazp">
      <xmlColumnPr mapId="7" xpath="/Pisemnost/DPFDP6/Vetab/@kc_srazp" xmlDataType="decimal"/>
    </tableColumn>
    <tableColumn id="4" xr3:uid="{00000000-0010-0000-0C00-000004000000}" uniqueName="kc_vyplbonusp" name="kc_vyplbonusp">
      <xmlColumnPr mapId="7" xpath="/Pisemnost/DPFDP6/Vetab/@kc_vyplbonusp" xmlDataType="decimal"/>
    </tableColumn>
    <tableColumn id="5" xr3:uid="{00000000-0010-0000-0C00-000005000000}" uniqueName="kc_zalzavcp" name="kc_zalzavcp">
      <xmlColumnPr mapId="7" xpath="/Pisemnost/DPFDP6/Vetab/@kc_zalzavcp" xmlDataType="decimal"/>
    </tableColumn>
    <tableColumn id="6" xr3:uid="{00000000-0010-0000-0C00-000006000000}" uniqueName="kc_sraz368p" name="kc_sraz368p">
      <xmlColumnPr mapId="7" xpath="/Pisemnost/DPFDP6/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D000000}" name="Tabulka308" displayName="Tabulka308" ref="R153:V169" tableType="xml" totalsRowShown="0" headerRowDxfId="32">
  <autoFilter ref="R153:V169" xr:uid="{00000000-0009-0000-0100-000034010000}"/>
  <tableColumns count="5">
    <tableColumn id="1" xr3:uid="{00000000-0010-0000-0D00-000001000000}" uniqueName="dan_seznam" name="dan_seznam" dataDxfId="31">
      <calculatedColumnFormula>IF(Př_b!E10&lt;&gt;"",Př_b!E10,"")</calculatedColumnFormula>
      <xmlColumnPr mapId="7" xpath="/Pisemnost/DPFDP6/Vetad/@dan_seznam" xmlDataType="decimal"/>
    </tableColumn>
    <tableColumn id="2" xr3:uid="{00000000-0010-0000-0D00-000002000000}" uniqueName="ident_udaje" name="ident_udaje" dataDxfId="30">
      <calculatedColumnFormula>IF(AND(Př_b!B10&lt;&gt;"",Př_b!B10&lt;&gt;0),Př_b!B10,"")</calculatedColumnFormula>
      <xmlColumnPr mapId="7" xpath="/Pisemnost/DPFDP6/Vetad/@ident_udaje" xmlDataType="string"/>
    </tableColumn>
    <tableColumn id="3" xr3:uid="{00000000-0010-0000-0D00-000003000000}" uniqueName="k_stat_zdroj" name="k_stat_zdroj" dataDxfId="29">
      <calculatedColumnFormula>IF(AND(Př_b!C10&lt;&gt;"",Př_b!C10&lt;&gt;0),VLOOKUP(Př_b!C10,FU!$J$3:$K$253,2,FALSE),"")</calculatedColumnFormula>
      <xmlColumnPr mapId="7" xpath="/Pisemnost/DPFDP6/Vetad/@k_stat_zdroj" xmlDataType="string"/>
    </tableColumn>
    <tableColumn id="4" xr3:uid="{00000000-0010-0000-0D00-000004000000}" uniqueName="prijmy_seznam" name="prijmy_seznam" dataDxfId="28">
      <calculatedColumnFormula>IF(Př_b!F10&lt;&gt;"",Př_b!F10,"")</calculatedColumnFormula>
      <xmlColumnPr mapId="7" xpath="/Pisemnost/DPFDP6/Vetad/@prijmy_seznam" xmlDataType="decimal"/>
    </tableColumn>
    <tableColumn id="5" xr3:uid="{00000000-0010-0000-0D00-000005000000}" uniqueName="zapl_dan" name="zapl_dan" dataDxfId="27">
      <calculatedColumnFormula>IF(Př_b!D10&lt;&gt;"",Př_b!D10,"")</calculatedColumnFormula>
      <xmlColumnPr mapId="7" xpath="/Pisemnost/DPFDP6/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E000000}" name="Tabulka309" displayName="Tabulka309" ref="R177:W254" totalsRowShown="0" headerRowDxfId="26">
  <autoFilter ref="R177:W254" xr:uid="{00000000-0009-0000-0100-000035010000}"/>
  <tableColumns count="6">
    <tableColumn id="1" xr3:uid="{00000000-0010-0000-0E00-000001000000}" name="c_listu" dataDxfId="25">
      <calculatedColumnFormula>$Q$178</calculatedColumnFormula>
    </tableColumn>
    <tableColumn id="2" xr3:uid="{00000000-0010-0000-0E00-000002000000}" name="c_radku" dataDxfId="24">
      <calculatedColumnFormula>IF($B$38="P",Y178,IF($B$38="Z",IF(Z178&lt;&gt;"",Z178,""),IF($B$38="M",IF(AA178&lt;&gt;"",AA178,""),Y178)))</calculatedColumnFormula>
    </tableColumn>
    <tableColumn id="3" xr3:uid="{00000000-0010-0000-0E00-000003000000}" name="kc_brutto" dataDxfId="23"/>
    <tableColumn id="4" xr3:uid="{00000000-0010-0000-0E00-000004000000}" name="kc_korekce" dataDxfId="22"/>
    <tableColumn id="5" xr3:uid="{00000000-0010-0000-0E00-000005000000}" name="kc_netto" dataDxfId="21"/>
    <tableColumn id="6" xr3:uid="{00000000-0010-0000-0E00-000006000000}" name="kc_netto_min" dataDxfId="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0F000000}" name="Tabulka310" displayName="Tabulka310" ref="AB177:AE233" totalsRowShown="0" headerRowDxfId="19">
  <autoFilter ref="AB177:AE233" xr:uid="{00000000-0009-0000-0100-000036010000}"/>
  <tableColumns count="4">
    <tableColumn id="1" xr3:uid="{00000000-0010-0000-0F00-000001000000}" name="c_listu" dataDxfId="18">
      <calculatedColumnFormula>$AB$176</calculatedColumnFormula>
    </tableColumn>
    <tableColumn id="2" xr3:uid="{00000000-0010-0000-0F00-000002000000}" name="c_radku" dataDxfId="17">
      <calculatedColumnFormula>IF($B$38="P",AG178,IF(AH178&lt;&gt;"",AH178,""))</calculatedColumnFormula>
    </tableColumn>
    <tableColumn id="3" xr3:uid="{00000000-0010-0000-0F00-000003000000}" name="kc_min" dataDxfId="16"/>
    <tableColumn id="4" xr3:uid="{00000000-0010-0000-0F00-000004000000}" name="kc_sled"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10000000}" name="Tabulka311" displayName="Tabulka311" ref="AJ177:AM178" insertRow="1" totalsRowShown="0" headerRowDxfId="14">
  <autoFilter ref="AJ177:AM178" xr:uid="{00000000-0009-0000-0100-000037010000}"/>
  <tableColumns count="4">
    <tableColumn id="1" xr3:uid="{00000000-0010-0000-1000-000001000000}" name="c_listu"/>
    <tableColumn id="2" xr3:uid="{00000000-0010-0000-1000-000002000000}" name="c_radku"/>
    <tableColumn id="3" xr3:uid="{00000000-0010-0000-1000-000003000000}" name="kc_min"/>
    <tableColumn id="4" xr3:uid="{00000000-0010-0000-1000-000004000000}" name="kc_sle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11000000}" name="Tabulka312" displayName="Tabulka312" ref="AQ177:AT243" totalsRowShown="0" headerRowDxfId="13">
  <autoFilter ref="AQ177:AT243" xr:uid="{00000000-0009-0000-0100-000038010000}"/>
  <tableColumns count="4">
    <tableColumn id="1" xr3:uid="{00000000-0010-0000-1100-000001000000}" name="c_listu" dataDxfId="12">
      <calculatedColumnFormula>$AP$178</calculatedColumnFormula>
    </tableColumn>
    <tableColumn id="2" xr3:uid="{00000000-0010-0000-1100-000002000000}" name="c_radku" dataDxfId="11">
      <calculatedColumnFormula>IF($B$38="P",AV178,IF($B$38="Z",IF(AW178&lt;&gt;"",AW178,""),IF($B$38="M",IF(AX178&lt;&gt;"",AX178,""),AV178)))</calculatedColumnFormula>
    </tableColumn>
    <tableColumn id="3" xr3:uid="{00000000-0010-0000-1100-000003000000}" name="kc_min" dataDxfId="10"/>
    <tableColumn id="4" xr3:uid="{00000000-0010-0000-1100-000004000000}" name="kc_sled" dataDxfId="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12000000}" name="Tabulka313" displayName="Tabulka313" ref="AZ177:BC178" insertRow="1" totalsRowShown="0" headerRowDxfId="8">
  <autoFilter ref="AZ177:BC178" xr:uid="{00000000-0009-0000-0100-000039010000}"/>
  <tableColumns count="4">
    <tableColumn id="1" xr3:uid="{00000000-0010-0000-1200-000001000000}" name="c_listu"/>
    <tableColumn id="2" xr3:uid="{00000000-0010-0000-1200-000002000000}" name="c_radku"/>
    <tableColumn id="3" xr3:uid="{00000000-0010-0000-1200-000003000000}" name="kc_min"/>
    <tableColumn id="4" xr3:uid="{00000000-0010-0000-1200-000004000000}" name="kc_sl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ulka220" displayName="Tabulka220" ref="R20:U23" tableType="xml" totalsRowShown="0" headerRowDxfId="78">
  <autoFilter ref="R20:U23" xr:uid="{00000000-0009-0000-0100-0000DC000000}"/>
  <tableColumns count="4">
    <tableColumn id="1" xr3:uid="{00000000-0010-0000-0100-000001000000}" uniqueName="c_nace_dal" name="c_nace_dal" dataDxfId="77">
      <calculatedColumnFormula>IF(ISNUMBER(W21),IF(VALUE(W21)&gt;99999,VALUE(W21),IF(VALUE(W21)&gt;9999,VALUE(W21)*10,IF(VALUE(W21)&gt;999,VALUE(W21)*100,IF(VALUE(W21)&gt;99,VALUE(W21)*1000,IF(VALUE(W21)&gt;9,VALUE(W21)*10000,VALUE(W21)*100000))))),"")</calculatedColumnFormula>
      <xmlColumnPr mapId="7" xpath="/Pisemnost/DPFDP6/Vetac/@c_nace_dal" xmlDataType="decimal"/>
    </tableColumn>
    <tableColumn id="2" xr3:uid="{00000000-0010-0000-0100-000002000000}" uniqueName="prijmy7" name="prijmy7" dataDxfId="76">
      <calculatedColumnFormula>IF('1Př1'!F32&lt;&gt;0,'1Př1'!F32,"")</calculatedColumnFormula>
      <xmlColumnPr mapId="7" xpath="/Pisemnost/DPFDP6/Vetac/@prijmy7" xmlDataType="decimal"/>
    </tableColumn>
    <tableColumn id="3" xr3:uid="{00000000-0010-0000-0100-000003000000}" uniqueName="sazba_dal" name="sazba_dal" dataDxfId="75">
      <calculatedColumnFormula>IF(AND('1Př1'!D32&lt;&gt;0,'1Př1'!D32&lt;&gt;""),100*'1Př1'!D32,"")</calculatedColumnFormula>
      <xmlColumnPr mapId="7" xpath="/Pisemnost/DPFDP6/Vetac/@sazba_dal" xmlDataType="decimal"/>
    </tableColumn>
    <tableColumn id="4" xr3:uid="{00000000-0010-0000-0100-000004000000}" uniqueName="vydaje7" name="vydaje7" dataDxfId="74">
      <calculatedColumnFormula>IF(ISNUMBER(W21),'1Př1'!H32,"")</calculatedColumnFormula>
      <xmlColumnPr mapId="7" xpath="/Pisemnost/DPFDP6/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13000000}" name="Tabulka314" displayName="Tabulka314" ref="R271:X272" insertRow="1" totalsRowShown="0" headerRowDxfId="7">
  <autoFilter ref="R271:X272" xr:uid="{00000000-0009-0000-0100-00003A010000}"/>
  <tableColumns count="7">
    <tableColumn id="1" xr3:uid="{00000000-0010-0000-1300-000001000000}" name="c_listu"/>
    <tableColumn id="2" xr3:uid="{00000000-0010-0000-1300-000002000000}" name="c_radku"/>
    <tableColumn id="3" xr3:uid="{00000000-0010-0000-1300-000003000000}" name="kc_brutto"/>
    <tableColumn id="4" xr3:uid="{00000000-0010-0000-1300-000004000000}" name="kc_korekce"/>
    <tableColumn id="5" xr3:uid="{00000000-0010-0000-1300-000005000000}" name="kc_netto"/>
    <tableColumn id="6" xr3:uid="{00000000-0010-0000-1300-000006000000}" name="kc_netto_min"/>
    <tableColumn id="7" xr3:uid="{00000000-0010-0000-1300-000007000000}" name="tab_uv"/>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14000000}" name="Tabulka315" displayName="Tabulka315" ref="R281:V282" insertRow="1" totalsRowShown="0" headerRowDxfId="6">
  <autoFilter ref="R281:V282" xr:uid="{00000000-0009-0000-0100-00003B010000}"/>
  <tableColumns count="5">
    <tableColumn id="1" xr3:uid="{00000000-0010-0000-1400-000001000000}" name="c_listu"/>
    <tableColumn id="2" xr3:uid="{00000000-0010-0000-1400-000002000000}" name="c_radku"/>
    <tableColumn id="3" xr3:uid="{00000000-0010-0000-1400-000003000000}" name="kc_min"/>
    <tableColumn id="4" xr3:uid="{00000000-0010-0000-1400-000004000000}" name="kc_sled"/>
    <tableColumn id="5" xr3:uid="{00000000-0010-0000-1400-000005000000}" name="tab_uv"/>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15000000}" name="Tabulka316" displayName="Tabulka316" ref="R291:U292" tableType="xml" totalsRowShown="0" headerRowDxfId="5">
  <autoFilter ref="R291:U292" xr:uid="{00000000-0009-0000-0100-00003C010000}"/>
  <tableColumns count="4">
    <tableColumn id="1" xr3:uid="{00000000-0010-0000-1500-000001000000}" uniqueName="c_porlist" name="c_porlist" dataDxfId="4">
      <calculatedColumnFormula>IF('2Př'!C30&lt;&gt;"",MID('2Př'!C30,FIND("-",'2Př'!C30,1)+1,FIND("/",'2Př'!C30,1)-FIND("-",'2Př'!C30,1)-1),"")</calculatedColumnFormula>
      <xmlColumnPr mapId="7" xpath="/Pisemnost/DPFDP6/Vetae/@c_porlist" xmlDataType="decimal"/>
    </tableColumn>
    <tableColumn id="2" xr3:uid="{00000000-0010-0000-1500-000002000000}" uniqueName="c_prac_ku" name="c_prac_ku" dataDxfId="3">
      <calculatedColumnFormula>IF('2Př'!C30&lt;&gt;"",MID('2Př'!C30,FIND("-",'2Př'!C30,3)+1,LEN('2Př'!C30)-FIND("-",'2Př'!C30,3)),"")</calculatedColumnFormula>
      <xmlColumnPr mapId="7" xpath="/Pisemnost/DPFDP6/Vetae/@c_prac_ku" xmlDataType="decimal"/>
    </tableColumn>
    <tableColumn id="3" xr3:uid="{00000000-0010-0000-1500-000003000000}" uniqueName="rok_list" name="rok_list" dataDxfId="2">
      <calculatedColumnFormula>IF('2Př'!C30&lt;&gt;"",MID('2Př'!C30,FIND("/",'2Př'!C30,1)+1,4),"")</calculatedColumnFormula>
      <xmlColumnPr mapId="7" xpath="/Pisemnost/DPFDP6/Vetae/@rok_list" xmlDataType="decimal"/>
    </tableColumn>
    <tableColumn id="4" xr3:uid="{00000000-0010-0000-1500-000004000000}" uniqueName="typ_list" name="typ_list" dataDxfId="1">
      <calculatedColumnFormula>IF('2Př'!C30&lt;&gt;"",LEFT('2Př'!C30,1),"")</calculatedColumnFormula>
      <xmlColumnPr mapId="7" xpath="/Pisemnost/DPFDP6/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16000000}" name="Tabulka317" displayName="Tabulka317" ref="R301:U302" insertRow="1" totalsRowShown="0" headerRowDxfId="0">
  <autoFilter ref="R301:U302" xr:uid="{00000000-0009-0000-0100-00003D010000}"/>
  <tableColumns count="4">
    <tableColumn id="1" xr3:uid="{00000000-0010-0000-1600-000001000000}" name="cislo"/>
    <tableColumn id="2" xr3:uid="{00000000-0010-0000-1600-000002000000}" name="nazev"/>
    <tableColumn id="3" xr3:uid="{00000000-0010-0000-1600-000003000000}" name="jm_souboru"/>
    <tableColumn id="4" xr3:uid="{00000000-0010-0000-1600-000004000000}" name="kodovani"/>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17000000}" name="Tabulka318" displayName="Tabulka318" ref="R311:V312" insertRow="1" totalsRowShown="0">
  <autoFilter ref="R311:V312" xr:uid="{00000000-0009-0000-0100-00003E010000}"/>
  <tableColumns count="5">
    <tableColumn id="1" xr3:uid="{00000000-0010-0000-1700-000001000000}" name="cislo"/>
    <tableColumn id="2" xr3:uid="{00000000-0010-0000-1700-000002000000}" name="nazev"/>
    <tableColumn id="3" xr3:uid="{00000000-0010-0000-1700-000003000000}" name="jm_souboru"/>
    <tableColumn id="4" xr3:uid="{00000000-0010-0000-1700-000004000000}" name="kodovani"/>
    <tableColumn id="5" xr3:uid="{00000000-0010-0000-1700-000005000000}" name="ko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ulka238" displayName="Tabulka238" ref="R40:S44" tableType="xml" totalsRowShown="0" headerRowDxfId="73">
  <autoFilter ref="R40:S44" xr:uid="{00000000-0009-0000-0100-0000EE000000}"/>
  <tableColumns count="2">
    <tableColumn id="1" xr3:uid="{00000000-0010-0000-0200-000001000000}" uniqueName="kc_uprzvys_235" name="kc_uprzvys_235" dataDxfId="72">
      <calculatedColumnFormula>IF('1Př2'!F20&lt;&gt;"",'1Př2'!F20,"")</calculatedColumnFormula>
      <xmlColumnPr mapId="7" xpath="/Pisemnost/DPFDP6/VetaC/@kc_uprzvys_235" xmlDataType="decimal"/>
    </tableColumn>
    <tableColumn id="2" xr3:uid="{00000000-0010-0000-0200-000002000000}" uniqueName="uprzvys_235" name="uprzvys_235" dataDxfId="71">
      <calculatedColumnFormula>IF('1Př2'!B20&lt;&gt;"",'1Př2'!B20,"")</calculatedColumnFormula>
      <xmlColumnPr mapId="7" xpath="/Pisemnost/DPFDP6/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ulka239" displayName="Tabulka239" ref="R50:S54" tableType="xml" totalsRowShown="0" headerRowDxfId="70">
  <autoFilter ref="R50:S54" xr:uid="{00000000-0009-0000-0100-0000EF000000}"/>
  <tableColumns count="2">
    <tableColumn id="1" xr3:uid="{00000000-0010-0000-0300-000001000000}" uniqueName="kc_uprsniz_235" name="kc_uprsniz_235" dataDxfId="69">
      <calculatedColumnFormula>IF('1Př2'!F26&lt;&gt;"",'1Př2'!F26,"")</calculatedColumnFormula>
      <xmlColumnPr mapId="7" xpath="/Pisemnost/DPFDP6/VetaE/@kc_uprsniz_235" xmlDataType="decimal"/>
    </tableColumn>
    <tableColumn id="2" xr3:uid="{00000000-0010-0000-0300-000002000000}" uniqueName="uprsniz_235" name="uprsniz_235" dataDxfId="68">
      <calculatedColumnFormula>IF('1Př2'!B26&lt;&gt;"",'1Př2'!B26,"")</calculatedColumnFormula>
      <xmlColumnPr mapId="7" xpath="/Pisemnost/DPFDP6/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04000000}" name="Tabulka240" displayName="Tabulka240" ref="R60:V63" tableType="xml" totalsRowShown="0" headerRowDxfId="67">
  <autoFilter ref="R60:V63" xr:uid="{00000000-0009-0000-0100-0000F0000000}"/>
  <tableColumns count="5">
    <tableColumn id="1" xr3:uid="{00000000-0010-0000-0400-000001000000}" uniqueName="ucsdruz_dic" name="ucsdruz_dic" dataDxfId="66">
      <calculatedColumnFormula>IF('1Př2'!E33&lt;&gt;"",MID('1Př2'!E33,3,LEN('1Př2'!E33)-2),"")</calculatedColumnFormula>
      <xmlColumnPr mapId="7" xpath="/Pisemnost/DPFDP6/VetaF/@ucsdruz_dic" xmlDataType="string"/>
    </tableColumn>
    <tableColumn id="2" xr3:uid="{00000000-0010-0000-0400-000002000000}" uniqueName="ucsdruz_jmeno" name="ucsdruz_jmeno" dataDxfId="65">
      <calculatedColumnFormula>IF('1Př2'!B33&lt;&gt;"",'1Př2'!B33,"")</calculatedColumnFormula>
      <xmlColumnPr mapId="7" xpath="/Pisemnost/DPFDP6/VetaF/@ucsdruz_jmeno" xmlDataType="string"/>
    </tableColumn>
    <tableColumn id="3" xr3:uid="{00000000-0010-0000-0400-000003000000}" uniqueName="ucsdruz_prijmeni" name="ucsdruz_podprij" dataDxfId="64">
      <calculatedColumnFormula>IF('1Př2'!F33&lt;&gt;"",'1Př2'!F33*100,"")</calculatedColumnFormula>
      <xmlColumnPr mapId="7" xpath="/Pisemnost/DPFDP6/VetaF/@ucsdruz_prijmeni" xmlDataType="string"/>
    </tableColumn>
    <tableColumn id="4" xr3:uid="{00000000-0010-0000-0400-000004000000}" uniqueName="ucsdruz_podvyd" name="ucsdruz_podvyd" dataDxfId="63">
      <calculatedColumnFormula>IF('1Př2'!G33&lt;&gt;"",'1Př2'!G33*100,"")</calculatedColumnFormula>
      <xmlColumnPr mapId="7" xpath="/Pisemnost/DPFDP6/VetaF/@ucsdruz_podvyd" xmlDataType="decimal"/>
    </tableColumn>
    <tableColumn id="5" xr3:uid="{00000000-0010-0000-0400-000005000000}" uniqueName="ucsdruz_podprij" name="ucsdruz_prijmeni" dataDxfId="62">
      <calculatedColumnFormula>IF('1Př2'!C33&lt;&gt;"",'1Př2'!C33,"")</calculatedColumnFormula>
      <xmlColumnPr mapId="7" xpath="/Pisemnost/DPFDP6/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05000000}" name="Tabulka241" displayName="Tabulka241" ref="R70:U72" tableType="xml" totalsRowShown="0" headerRowDxfId="61">
  <autoFilter ref="R70:U72" xr:uid="{00000000-0009-0000-0100-0000F1000000}"/>
  <tableColumns count="4">
    <tableColumn id="1" xr3:uid="{00000000-0010-0000-0500-000001000000}" uniqueName="spolos_dic" name="spolos_dic" dataDxfId="60">
      <calculatedColumnFormula>IF('1Př2'!F39&lt;&gt;"",IF(OR(ISNUMBER('1Př2'!F39),ISNUMBER(FIND("/",('1Př2'!F39)))),'1Př2'!F39,MID('1Př2'!F39,3,(LEN('1Př2'!F39)-2))),"")</calculatedColumnFormula>
      <xmlColumnPr mapId="7" xpath="/Pisemnost/DPFDP6/VetaG/@spolos_dic" xmlDataType="string"/>
    </tableColumn>
    <tableColumn id="2" xr3:uid="{00000000-0010-0000-0500-000002000000}" uniqueName="spolos_jmeno" name="spolos_jmeno" dataDxfId="59">
      <calculatedColumnFormula>IF('1Př2'!B39&lt;&gt;"",'1Př2'!B39,"")</calculatedColumnFormula>
      <xmlColumnPr mapId="7" xpath="/Pisemnost/DPFDP6/VetaG/@spolos_jmeno" xmlDataType="string"/>
    </tableColumn>
    <tableColumn id="3" xr3:uid="{00000000-0010-0000-0500-000003000000}" uniqueName="spolos_podil" name="spolos_podil" dataDxfId="58">
      <calculatedColumnFormula>IF('1Př2'!G39&lt;&gt;"",('1Př2'!G39)*100,"")</calculatedColumnFormula>
      <xmlColumnPr mapId="7" xpath="/Pisemnost/DPFDP6/VetaG/@spolos_podil" xmlDataType="decimal"/>
    </tableColumn>
    <tableColumn id="4" xr3:uid="{00000000-0010-0000-0500-000004000000}" uniqueName="spolos_prijmeni" name="spolos_prijmeni" dataDxfId="57">
      <calculatedColumnFormula>IF('1Př2'!D39&lt;&gt;"",'1Př2'!D39,"")</calculatedColumnFormula>
      <xmlColumnPr mapId="7" xpath="/Pisemnost/DPFDP6/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06000000}" name="Tabulka242" displayName="Tabulka242" ref="R80:U81" tableType="xml" totalsRowShown="0" headerRowDxfId="56">
  <autoFilter ref="R80:U81" xr:uid="{00000000-0009-0000-0100-0000F2000000}"/>
  <tableColumns count="4">
    <tableColumn id="1" xr3:uid="{00000000-0010-0000-0600-000001000000}" uniqueName="rozdos_dic" name="rozdos_dic" dataDxfId="55">
      <calculatedColumnFormula>IF('1Př2'!F44&lt;&gt;"",MID('1Př2'!F44,3,LEN('1Př2'!F44)-2),"")</calculatedColumnFormula>
      <xmlColumnPr mapId="7" xpath="/Pisemnost/DPFDP6/VetaH/@rozdos_dic" xmlDataType="string"/>
    </tableColumn>
    <tableColumn id="2" xr3:uid="{00000000-0010-0000-0600-000002000000}" uniqueName="rozdos_jmeno" name="rozdos_jmeno" dataDxfId="54">
      <calculatedColumnFormula>IF('1Př2'!B44&lt;&gt;"",'1Př2'!B44,"")</calculatedColumnFormula>
      <xmlColumnPr mapId="7" xpath="/Pisemnost/DPFDP6/VetaH/@rozdos_jmeno" xmlDataType="string"/>
    </tableColumn>
    <tableColumn id="3" xr3:uid="{00000000-0010-0000-0600-000003000000}" uniqueName="rozdos_podil" name="rozdos_podil">
      <calculatedColumnFormula>IF('1Př2'!G44&lt;&gt;"",'1Př2'!G44*100,"")</calculatedColumnFormula>
      <xmlColumnPr mapId="7" xpath="/Pisemnost/DPFDP6/VetaH/@rozdos_podil" xmlDataType="decimal"/>
    </tableColumn>
    <tableColumn id="4" xr3:uid="{00000000-0010-0000-0600-000004000000}" uniqueName="rozdos_prijmeni" name="rozdos_prijmeni" dataDxfId="53">
      <calculatedColumnFormula>IF('1Př2'!D44&lt;&gt;"",'1Př2'!D44,"")</calculatedColumnFormula>
      <xmlColumnPr mapId="7" xpath="/Pisemnost/DPFDP6/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07000000}" name="Tabulka243" displayName="Tabulka243" ref="R90:S91" tableType="xml" totalsRowShown="0" headerRowDxfId="52">
  <autoFilter ref="R90:S91" xr:uid="{00000000-0009-0000-0100-0000F3000000}"/>
  <tableColumns count="2">
    <tableColumn id="1" xr3:uid="{00000000-0010-0000-0700-000001000000}" uniqueName="vos_ks_dic" name="vos_ks_dic" dataDxfId="51">
      <calculatedColumnFormula>IF('1Př2'!F47&lt;&gt;"",MID('1Př2'!F47,3,LEN('1Př2'!F47)-2),"")</calculatedColumnFormula>
      <xmlColumnPr mapId="7" xpath="/Pisemnost/DPFDP6/VetaI/@vos_ks_dic" xmlDataType="string"/>
    </tableColumn>
    <tableColumn id="2" xr3:uid="{00000000-0010-0000-0700-000002000000}" uniqueName="vos_ks_podil" name="vos_ks_podil">
      <calculatedColumnFormula>IF('1Př2'!G47&lt;&gt;"",'1Př2'!G47*100,"")</calculatedColumnFormula>
      <xmlColumnPr mapId="7" xpath="/Pisemnost/DPFDP6/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08000000}" name="Tabulka263" displayName="Tabulka263" ref="R100:W104" tableType="xml" totalsRowShown="0" headerRowDxfId="50">
  <autoFilter ref="R100:W104" xr:uid="{00000000-0009-0000-0100-000007010000}"/>
  <tableColumns count="6">
    <tableColumn id="1" xr3:uid="{00000000-0010-0000-0800-000001000000}" uniqueName="druh_prij10" name="druh_prij10" dataDxfId="49">
      <calculatedColumnFormula>IF('2Př'!B24&lt;&gt;"",'2Př'!B24,"")</calculatedColumnFormula>
      <xmlColumnPr mapId="7" xpath="/Pisemnost/DPFDP6/VetaJ/@druh_prij10" xmlDataType="string"/>
    </tableColumn>
    <tableColumn id="2" xr3:uid="{00000000-0010-0000-0800-000002000000}" uniqueName="kod10" name="kod10" dataDxfId="48">
      <calculatedColumnFormula>IF('2Př'!J24&lt;&gt;"",'2Př'!J24,"")</calculatedColumnFormula>
      <xmlColumnPr mapId="7" xpath="/Pisemnost/DPFDP6/VetaJ/@kod10" xmlDataType="string"/>
    </tableColumn>
    <tableColumn id="3" xr3:uid="{00000000-0010-0000-0800-000003000000}" uniqueName="kod_dr_prij10" name="kod_dr_prij10" dataDxfId="47">
      <calculatedColumnFormula>IF('2Př'!B24&lt;&gt;"",MID('2Př'!B24,1,1),"")</calculatedColumnFormula>
      <xmlColumnPr mapId="7" xpath="/Pisemnost/DPFDP6/VetaJ/@kod_dr_prij10" xmlDataType="string"/>
    </tableColumn>
    <tableColumn id="4" xr3:uid="{00000000-0010-0000-0800-000004000000}" uniqueName="prijmy10" name="prijmy10" dataDxfId="46">
      <calculatedColumnFormula>IF(AND('2Př'!D24&lt;&gt;"",'2Př'!D24&lt;&gt;0),'2Př'!D24,"")</calculatedColumnFormula>
      <xmlColumnPr mapId="7" xpath="/Pisemnost/DPFDP6/VetaJ/@prijmy10" xmlDataType="decimal"/>
    </tableColumn>
    <tableColumn id="5" xr3:uid="{00000000-0010-0000-0800-000005000000}" uniqueName="rozdil10" name="rozdil10" dataDxfId="45">
      <calculatedColumnFormula>IF('2Př'!H24&lt;&gt;"",'2Př'!H24,"")</calculatedColumnFormula>
      <xmlColumnPr mapId="7" xpath="/Pisemnost/DPFDP6/VetaJ/@rozdil10" xmlDataType="decimal"/>
    </tableColumn>
    <tableColumn id="6" xr3:uid="{00000000-0010-0000-0800-000006000000}" uniqueName="vydaje10" name="vydaje10" dataDxfId="44">
      <calculatedColumnFormula>IF(AND('2Př'!F24&lt;&gt;"",'2Př'!F24&lt;&gt;0),'2Př'!F24,"")</calculatedColumnFormula>
      <xmlColumnPr mapId="7" xpath="/Pisemnost/DPFDP6/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14448AF1-3162-4B5D-90D8-3751F41EB2C3}" r="B2" connectionId="0">
    <xmlCellPr id="1" xr6:uid="{D07EFE18-297F-4B5C-BEC0-51EDEE3EEEF6}" uniqueName="audit">
      <xmlPr mapId="7" xpath="/Pisemnost/DPFDP6/VetaD/@audit" xmlDataType="string"/>
    </xmlCellPr>
  </singleXmlCell>
  <singleXmlCell id="2" xr6:uid="{53E8BF5F-568A-4BDE-8C9D-0FA4C84277C9}" r="B16" connectionId="0">
    <xmlCellPr id="1" xr6:uid="{DA7740A9-1B63-4036-964B-0E37D08F2C24}" uniqueName="kc_csprij">
      <xmlPr mapId="7" xpath="/Pisemnost/DPFDP6/VetaD/@kc_csprij" xmlDataType="decimal"/>
    </xmlCellPr>
  </singleXmlCell>
  <singleXmlCell id="3" xr6:uid="{09B07650-341F-40BF-A53A-461F0D61C5D3}" r="B49" connectionId="0">
    <xmlCellPr id="1" xr6:uid="{0D6596A6-53F0-4D16-8BCC-DBF0241E84FE}" uniqueName="kod_popl">
      <xmlPr mapId="7" xpath="/Pisemnost/DPFDP6/VetaD/@kod_popl" xmlDataType="string"/>
    </xmlCellPr>
  </singleXmlCell>
  <singleXmlCell id="4" xr6:uid="{AD62BC10-77AB-4584-85A3-DC9F48A4B612}" r="B26" connectionId="0">
    <xmlCellPr id="1" xr6:uid="{CD0DF63E-A3F6-4BDC-AB99-097C26F50274}" uniqueName="kc_op15_1e1">
      <xmlPr mapId="7" xpath="/Pisemnost/DPFDP6/VetaD/@kc_op15_1e1" xmlDataType="decimal"/>
    </xmlCellPr>
  </singleXmlCell>
  <singleXmlCell id="6" xr6:uid="{1BF60D7E-CF67-4634-B6C4-D0E8A493F2C6}" r="B9" connectionId="0">
    <xmlCellPr id="1" xr6:uid="{09BF5789-4903-469C-AB82-552CB5E28869}" uniqueName="da_slevy35ba">
      <xmlPr mapId="7" xpath="/Pisemnost/DPFDP6/VetaD/@da_slevy35ba" xmlDataType="decimal"/>
    </xmlCellPr>
  </singleXmlCell>
  <singleXmlCell id="7" xr6:uid="{13CBB915-A67C-4F1E-A3FD-4C82DA34F4F8}" r="B64" connectionId="0">
    <xmlCellPr id="1" xr6:uid="{1DFCE18B-ABB4-40F5-AECE-7862861122A0}" uniqueName="rok">
      <xmlPr mapId="7" xpath="/Pisemnost/DPFDP6/VetaD/@rok" xmlDataType="decimal"/>
    </xmlCellPr>
  </singleXmlCell>
  <singleXmlCell id="8" xr6:uid="{57AE908D-4433-4B8B-B82E-76342E20A3D5}" r="B62" connectionId="0">
    <xmlCellPr id="1" xr6:uid="{B256780F-A64A-437C-8C2C-57B686325922}" uniqueName="pln_moc">
      <xmlPr mapId="7" xpath="/Pisemnost/DPFDP6/VetaD/@pln_moc" xmlDataType="string"/>
    </xmlCellPr>
  </singleXmlCell>
  <singleXmlCell id="9" xr6:uid="{D4CE39C6-4F1B-44E8-A938-E71E7603E69A}" r="B50" connectionId="0">
    <xmlCellPr id="1" xr6:uid="{943EEF9F-FD81-4CD3-941F-59DD587315B4}" uniqueName="m_cinvduch">
      <xmlPr mapId="7" xpath="/Pisemnost/DPFDP6/VetaD/@m_cinvduch" xmlDataType="decimal"/>
    </xmlCellPr>
  </singleXmlCell>
  <singleXmlCell id="10" xr6:uid="{A922738D-C7EE-489B-BED6-9E7387561669}" r="B13" connectionId="0">
    <xmlCellPr id="1" xr6:uid="{36DFFE10-A591-4AC5-ACBB-461896FFDAED}" uniqueName="dokument">
      <xmlPr mapId="7" xpath="/Pisemnost/DPFDP6/VetaD/@dokument" xmlDataType="anyType"/>
    </xmlCellPr>
  </singleXmlCell>
  <singleXmlCell id="11" xr6:uid="{5DB5C213-F7C3-4950-827E-2681C15AB2F8}" r="B22" connectionId="0">
    <xmlCellPr id="1" xr6:uid="{6262BEA6-F0B3-461A-A3C6-384491A91F29}" uniqueName="kc_manztpp">
      <xmlPr mapId="7" xpath="/Pisemnost/DPFDP6/VetaD/@kc_manztpp" xmlDataType="decimal"/>
    </xmlCellPr>
  </singleXmlCell>
  <singleXmlCell id="12" xr6:uid="{F0B9E191-2C59-4CB3-B3C3-B345C7716718}" r="B3" connectionId="0">
    <xmlCellPr id="1" xr6:uid="{29D8E59E-C1E3-4A24-B208-26BC8ECA3BD1}" uniqueName="c_ufo_cil">
      <xmlPr mapId="7" xpath="/Pisemnost/DPFDP6/VetaD/@c_ufo_cil" xmlDataType="decimal"/>
    </xmlCellPr>
  </singleXmlCell>
  <singleXmlCell id="13" xr6:uid="{2BF47EBB-7D18-43A9-8875-E8C06DB86078}" r="B58" connectionId="0">
    <xmlCellPr id="1" xr6:uid="{37386DD0-9C67-480A-99ED-A19496CFF853}" uniqueName="manz_jmeno">
      <xmlPr mapId="7" xpath="/Pisemnost/DPFDP6/VetaD/@manz_jmeno" xmlDataType="string"/>
    </xmlCellPr>
  </singleXmlCell>
  <singleXmlCell id="14" xr6:uid="{58375C9B-5762-46AC-92BC-89C57E9ACACD}" r="B15" connectionId="0">
    <xmlCellPr id="1" xr6:uid="{40D87D38-AEAF-40E8-8B90-E3BAFDE98D78}" uniqueName="k_uladis">
      <xmlPr mapId="7" xpath="/Pisemnost/DPFDP6/VetaD/@k_uladis" xmlDataType="anyType"/>
    </xmlCellPr>
  </singleXmlCell>
  <singleXmlCell id="15" xr6:uid="{72A7E0B3-9A15-450F-95DD-6E6108B0E606}" r="B8" connectionId="0">
    <xmlCellPr id="1" xr6:uid="{ABC2D49C-2911-4629-8961-A7F9357CCF67}" uniqueName="da_slevy">
      <xmlPr mapId="7" xpath="/Pisemnost/DPFDP6/VetaD/@da_slevy" xmlDataType="decimal"/>
    </xmlCellPr>
  </singleXmlCell>
  <singleXmlCell id="16" xr6:uid="{D9D0A219-3525-4E9B-8B01-1C6F04D5BF0D}" r="B72" connectionId="0">
    <xmlCellPr id="1" xr6:uid="{8F3ECC3F-A15E-4366-AA34-AC2BC4888CD5}" uniqueName="zdobd_od">
      <xmlPr mapId="7" xpath="/Pisemnost/DPFDP6/VetaD/@zdobd_od" xmlDataType="string"/>
    </xmlCellPr>
  </singleXmlCell>
  <singleXmlCell id="17" xr6:uid="{C96108A7-44CF-4757-AC99-3511A6353B00}" r="B59" connectionId="0">
    <xmlCellPr id="1" xr6:uid="{3AF285D5-2342-46A8-8C21-8EA4AE59BD14}" uniqueName="manz_prijmeni">
      <xmlPr mapId="7" xpath="/Pisemnost/DPFDP6/VetaD/@manz_prijmeni" xmlDataType="string"/>
    </xmlCellPr>
  </singleXmlCell>
  <singleXmlCell id="18" xr6:uid="{DA81BF38-F00B-492B-8283-0967C5AF6BC8}" r="B30" connectionId="0">
    <xmlCellPr id="1" xr6:uid="{382755B9-40F4-4DA8-A3A8-DC6C023497DE}" uniqueName="kc_pzdp">
      <xmlPr mapId="7" xpath="/Pisemnost/DPFDP6/VetaD/@kc_pzdp" xmlDataType="decimal"/>
    </xmlCellPr>
  </singleXmlCell>
  <singleXmlCell id="19" xr6:uid="{6962A583-2549-441D-B9E1-EB9A2C3687BF}" r="B25" connectionId="0">
    <xmlCellPr id="1" xr6:uid="{D5F21697-9230-4C31-BCD2-6368BE10A15E}" uniqueName="kc_op15_1d">
      <xmlPr mapId="7" xpath="/Pisemnost/DPFDP6/VetaD/@kc_op15_1d" xmlDataType="decimal"/>
    </xmlCellPr>
  </singleXmlCell>
  <singleXmlCell id="21" xr6:uid="{324912A0-E828-4BD1-A459-B8430CE10D15}" r="B34" connectionId="0">
    <xmlCellPr id="1" xr6:uid="{C4713334-CA24-424F-9303-A16DF2B22FF6}" uniqueName="kc_rozdil_zt">
      <xmlPr mapId="7" xpath="/Pisemnost/DPFDP6/VetaD/@kc_rozdil_zt" xmlDataType="decimal"/>
    </xmlCellPr>
  </singleXmlCell>
  <singleXmlCell id="22" xr6:uid="{2C15424F-91F2-4A1E-A211-A61E2A29DD77}" r="B24" connectionId="0">
    <xmlCellPr id="1" xr6:uid="{8B3100E7-7E10-4E0F-85E5-C5580CD5C45D}" uniqueName="kc_op15_1c">
      <xmlPr mapId="7" xpath="/Pisemnost/DPFDP6/VetaD/@kc_op15_1c" xmlDataType="decimal"/>
    </xmlCellPr>
  </singleXmlCell>
  <singleXmlCell id="23" xr6:uid="{CDCEFBFC-6C8B-4A8A-82FB-0E4C7B499CB0}" r="B57" connectionId="0">
    <xmlCellPr id="1" xr6:uid="{225C0F8F-0AD3-4D94-8358-EF7A20A85C06}" uniqueName="m_ztpp">
      <xmlPr mapId="7" xpath="/Pisemnost/DPFDP6/VetaD/@m_ztpp" xmlDataType="decimal"/>
    </xmlCellPr>
  </singleXmlCell>
  <singleXmlCell id="24" xr6:uid="{D68860F4-78D5-4B7B-A72E-CA0CD557AF06}" r="B7" connectionId="0">
    <xmlCellPr id="1" xr6:uid="{F34F430B-FBE1-41C2-B365-AA27A3914B28}" uniqueName="da_celod13">
      <xmlPr mapId="7" xpath="/Pisemnost/DPFDP6/VetaD/@da_celod13" xmlDataType="decimal"/>
    </xmlCellPr>
  </singleXmlCell>
  <singleXmlCell id="25" xr6:uid="{7AD8F50A-1F8E-4229-9D5E-0B3EBBA4BF91}" r="B14" connectionId="0">
    <xmlCellPr id="1" xr6:uid="{DC4A2056-0803-47EB-BEB6-FE0C9B287450}" uniqueName="duvpoddapdpf">
      <xmlPr mapId="7" xpath="/Pisemnost/DPFDP6/VetaD/@duvpoddapdpf" xmlDataType="string"/>
    </xmlCellPr>
  </singleXmlCell>
  <singleXmlCell id="26" xr6:uid="{4B3D59DE-A39D-41E1-BF56-40791D6BDC0D}" r="B51" connectionId="0">
    <xmlCellPr id="1" xr6:uid="{5EDD767D-41F6-49D5-B625-A8A3ED96829F}" uniqueName="m_deti">
      <xmlPr mapId="7" xpath="/Pisemnost/DPFDP6/VetaD/@m_deti" xmlDataType="decimal"/>
    </xmlCellPr>
  </singleXmlCell>
  <singleXmlCell id="27" xr6:uid="{33FB9A71-3FF2-48F3-A96A-B6E427869880}" r="B67" connectionId="0">
    <xmlCellPr id="1" xr6:uid="{A6137708-F091-449F-8855-861CC20D4CE9}" uniqueName="uhrn_slevy35ba">
      <xmlPr mapId="7" xpath="/Pisemnost/DPFDP6/VetaD/@uhrn_slevy35ba" xmlDataType="decimal"/>
    </xmlCellPr>
  </singleXmlCell>
  <singleXmlCell id="28" xr6:uid="{13B4F7D5-E443-48F2-A6FC-5BD87EAF74C4}" r="B55" connectionId="0">
    <xmlCellPr id="1" xr6:uid="{C8148AF7-6B3A-4E29-838C-0F65819280C6}" uniqueName="m_stud">
      <xmlPr mapId="7" xpath="/Pisemnost/DPFDP6/VetaD/@m_stud" xmlDataType="decimal"/>
    </xmlCellPr>
  </singleXmlCell>
  <singleXmlCell id="29" xr6:uid="{AD353221-DDED-4DAD-BC48-E1560A7BAC0B}" r="B6" connectionId="0">
    <xmlCellPr id="1" xr6:uid="{0096D04F-EFE7-4C0C-93B2-81E8403D4F06}" uniqueName="d_zjist">
      <xmlPr mapId="7" xpath="/Pisemnost/DPFDP6/VetaD/@d_zjist" xmlDataType="string"/>
    </xmlCellPr>
  </singleXmlCell>
  <singleXmlCell id="30" xr6:uid="{68CC6B96-265A-4875-A45B-6CE7F28F1BF7}" r="B28" connectionId="0">
    <xmlCellPr id="1" xr6:uid="{CE6DEDF6-8354-4A2F-91BE-2F223BFDA7E6}" uniqueName="kc_pausal">
      <xmlPr mapId="7" xpath="/Pisemnost/DPFDP6/VetaD/@kc_pausal" xmlDataType="decimal"/>
    </xmlCellPr>
  </singleXmlCell>
  <singleXmlCell id="31" xr6:uid="{53222C51-4153-4B63-8EB7-4CE81467AAD7}" r="B45" connectionId="0">
    <xmlCellPr id="1" xr6:uid="{4DB1D789-140A-4656-8E92-2CD4927FA20F}" uniqueName="kc_zalzavc">
      <xmlPr mapId="7" xpath="/Pisemnost/DPFDP6/VetaD/@kc_zalzavc" xmlDataType="decimal"/>
    </xmlCellPr>
  </singleXmlCell>
  <singleXmlCell id="32" xr6:uid="{85D77719-E2F1-4F80-8A07-2014EAB75909}" r="B41" connectionId="0">
    <xmlCellPr id="1" xr6:uid="{47D97D6A-BE50-41B5-9F07-1841769E4E62}" uniqueName="kc_sraz_rezehp">
      <xmlPr mapId="7" xpath="/Pisemnost/DPFDP6/VetaD/@kc_sraz_rezehp" xmlDataType="decimal"/>
    </xmlCellPr>
  </singleXmlCell>
  <singleXmlCell id="33" xr6:uid="{4622C058-3A1B-4B1C-9186-62F51517332B}" r="B17" connectionId="0">
    <xmlCellPr id="1" xr6:uid="{579CB6C8-B2E9-43C0-9CA6-85737B776499}" uniqueName="kc_danbonus">
      <xmlPr mapId="7" xpath="/Pisemnost/DPFDP6/VetaD/@kc_danbonus" xmlDataType="decimal"/>
    </xmlCellPr>
  </singleXmlCell>
  <singleXmlCell id="34" xr6:uid="{2DC199F8-46C9-43B5-A48B-C2F7678A74BF}" r="B23" connectionId="0">
    <xmlCellPr id="1" xr6:uid="{45D17ECC-D1AF-48B6-9CDF-178E1CB89ED9}" uniqueName="kc_op15_1a">
      <xmlPr mapId="7" xpath="/Pisemnost/DPFDP6/VetaD/@kc_op15_1a" xmlDataType="decimal"/>
    </xmlCellPr>
  </singleXmlCell>
  <singleXmlCell id="35" xr6:uid="{91BF8267-565E-4255-8D4F-41C347BA4FD5}" r="B33" connectionId="0">
    <xmlCellPr id="1" xr6:uid="{A67D85CC-84A7-4807-A8C8-5F0ADEF31C51}" uniqueName="kc_rozdil_dp">
      <xmlPr mapId="7" xpath="/Pisemnost/DPFDP6/VetaD/@kc_rozdil_dp" xmlDataType="decimal"/>
    </xmlCellPr>
  </singleXmlCell>
  <singleXmlCell id="36" xr6:uid="{9FF79B4B-6C2E-40C7-99FD-12B424E266B6}" r="B5" connectionId="0">
    <xmlCellPr id="1" xr6:uid="{1A2A4A1D-CCB0-4571-B568-C858371F1CF5}" uniqueName="d_uv">
      <xmlPr mapId="7" xpath="/Pisemnost/DPFDP6/VetaD/@d_uv" xmlDataType="string"/>
    </xmlCellPr>
  </singleXmlCell>
  <singleXmlCell id="37" xr6:uid="{94588967-99B0-4B32-8AAF-8433C74F8BC2}" r="B68" connectionId="0">
    <xmlCellPr id="1" xr6:uid="{F6D498E8-830E-4CD4-9422-FABBB36BF142}" uniqueName="uv_podpis">
      <xmlPr mapId="7" xpath="/Pisemnost/DPFDP6/VetaD/@uv_podpis" xmlDataType="string"/>
    </xmlCellPr>
  </singleXmlCell>
  <singleXmlCell id="38" xr6:uid="{A7B353C0-0712-4B48-94A7-B2248F1A5B3A}" r="B63" connectionId="0">
    <xmlCellPr id="1" xr6:uid="{2C492FA2-6CC3-44A3-9BB5-4B9CE2C18E3F}" uniqueName="prop_zahr">
      <xmlPr mapId="7" xpath="/Pisemnost/DPFDP6/VetaD/@prop_zahr" xmlDataType="string"/>
    </xmlCellPr>
  </singleXmlCell>
  <singleXmlCell id="39" xr6:uid="{251BF480-3A9A-4CC5-B230-B401ED8EADCC}" r="B18" connectionId="0">
    <xmlCellPr id="1" xr6:uid="{E0B1C3EF-0E9F-4CBE-A6D1-4B70E7892FE4}" uniqueName="kc_dazvyhod">
      <xmlPr mapId="7" xpath="/Pisemnost/DPFDP6/VetaD/@kc_dazvyhod" xmlDataType="decimal"/>
    </xmlCellPr>
  </singleXmlCell>
  <singleXmlCell id="40" xr6:uid="{093803E3-256F-4176-AFC1-D3020C6D0CCB}" r="B46" connectionId="0">
    <xmlCellPr id="1" xr6:uid="{34E29190-60E2-4EB3-A722-658EC8761A23}" uniqueName="kc_zbyvpred">
      <xmlPr mapId="7" xpath="/Pisemnost/DPFDP6/VetaD/@kc_zbyvpred" xmlDataType="decimal"/>
    </xmlCellPr>
  </singleXmlCell>
  <singleXmlCell id="41" xr6:uid="{06B3186A-EFEF-4449-A808-7A7144AC4507}" r="B44" connectionId="0">
    <xmlCellPr id="1" xr6:uid="{4E2E2618-F16B-4C4D-9494-7744D6CE4425}" uniqueName="kc_zalpred">
      <xmlPr mapId="7" xpath="/Pisemnost/DPFDP6/VetaD/@kc_zalpred" xmlDataType="decimal"/>
    </xmlCellPr>
  </singleXmlCell>
  <singleXmlCell id="43" xr6:uid="{4AA2B62B-682C-4ACF-8892-1137EFB146FB}" r="B71" connectionId="0">
    <xmlCellPr id="1" xr6:uid="{EE5F34C5-A5B0-43EF-9005-E68028DA2B70}" uniqueName="zdobd_do">
      <xmlPr mapId="7" xpath="/Pisemnost/DPFDP6/VetaD/@zdobd_do" xmlDataType="string"/>
    </xmlCellPr>
  </singleXmlCell>
  <singleXmlCell id="44" xr6:uid="{7546CB7F-0A61-42E5-840D-838A06527B9D}" r="B4" connectionId="0">
    <xmlCellPr id="1" xr6:uid="{BF8A7F75-9D0F-40C1-ACD3-D7A3E9EB6D42}" uniqueName="d_duvpod">
      <xmlPr mapId="7" xpath="/Pisemnost/DPFDP6/VetaD/@d_duvpod" xmlDataType="string"/>
    </xmlCellPr>
  </singleXmlCell>
  <singleXmlCell id="45" xr6:uid="{D7ACB0DC-C6A4-4552-8006-D9AB8DFCA214}" r="B20" connectionId="0">
    <xmlCellPr id="1" xr6:uid="{CB87DD77-A042-40F8-BF3B-41B410529F80}" uniqueName="kc_dztrata">
      <xmlPr mapId="7" xpath="/Pisemnost/DPFDP6/VetaD/@kc_dztrata" xmlDataType="decimal"/>
    </xmlCellPr>
  </singleXmlCell>
  <singleXmlCell id="46" xr6:uid="{2EF2C8A2-0EB1-4EC1-BF30-9BC0D9D2B1BF}" r="B21" connectionId="0">
    <xmlCellPr id="1" xr6:uid="{5DB672B1-AB9E-406B-924E-66F51ED2D060}" uniqueName="kc_konkurs">
      <xmlPr mapId="7" xpath="/Pisemnost/DPFDP6/VetaD/@kc_konkurs" xmlDataType="decimal"/>
    </xmlCellPr>
  </singleXmlCell>
  <singleXmlCell id="47" xr6:uid="{9276A7B0-241E-4495-A70C-C2FA6F02D03C}" r="B48" connectionId="0">
    <xmlCellPr id="1" xr6:uid="{CE769395-0A9F-452F-8DEA-A44D66EAB03A}" uniqueName="kc_zjizt">
      <xmlPr mapId="7" xpath="/Pisemnost/DPFDP6/VetaD/@kc_zjizt" xmlDataType="decimal"/>
    </xmlCellPr>
  </singleXmlCell>
  <singleXmlCell id="48" xr6:uid="{3A68A446-E43F-4B89-B1CB-AEC203E5E114}" r="B47" connectionId="0">
    <xmlCellPr id="1" xr6:uid="{2C9CBC05-15D1-4FC6-AFA5-6D6A6B6402DE}" uniqueName="kc_zjidp">
      <xmlPr mapId="7" xpath="/Pisemnost/DPFDP6/VetaD/@kc_zjidp" xmlDataType="decimal"/>
    </xmlCellPr>
  </singleXmlCell>
  <singleXmlCell id="49" xr6:uid="{297B2C25-2C0A-4046-9DB9-FAA1DA80AF64}" r="B60" connectionId="0">
    <xmlCellPr id="1" xr6:uid="{0C1CC97E-058F-4449-9ED6-3EEFD854EEA7}" uniqueName="manz_r_cislo">
      <xmlPr mapId="7" xpath="/Pisemnost/DPFDP6/VetaD/@manz_r_cislo" xmlDataType="string"/>
    </xmlCellPr>
  </singleXmlCell>
  <singleXmlCell id="50" xr6:uid="{7898739C-9D64-47DB-91F0-41B31205B1C6}" r="B56" connectionId="0">
    <xmlCellPr id="1" xr6:uid="{8F03330C-611F-4353-B35C-69CEDB854BF6}" uniqueName="m_vyzmanzl">
      <xmlPr mapId="7" xpath="/Pisemnost/DPFDP6/VetaD/@m_vyzmanzl" xmlDataType="decimal"/>
    </xmlCellPr>
  </singleXmlCell>
  <singleXmlCell id="51" xr6:uid="{4D371F5B-4B05-40F1-8322-EE618212D764}" r="B10" connectionId="0">
    <xmlCellPr id="1" xr6:uid="{EA3C948A-82D4-4242-B298-1A21111B968A}" uniqueName="da_slevy35c">
      <xmlPr mapId="7" xpath="/Pisemnost/DPFDP6/VetaD/@da_slevy35c" xmlDataType="decimal"/>
    </xmlCellPr>
  </singleXmlCell>
  <singleXmlCell id="52" xr6:uid="{B22E977B-526A-45EE-B173-0499C74ADB57}" r="B43" connectionId="0">
    <xmlCellPr id="1" xr6:uid="{6D7C12C5-1A62-4C40-96AE-A0CA44A36AA7}" uniqueName="kc_vyplbonus">
      <xmlPr mapId="7" xpath="/Pisemnost/DPFDP6/VetaD/@kc_vyplbonus" xmlDataType="decimal"/>
    </xmlCellPr>
  </singleXmlCell>
  <singleXmlCell id="53" xr6:uid="{824DFD49-7DF6-494F-8B7A-9051A359E3D5}" r="B42" connectionId="0">
    <xmlCellPr id="1" xr6:uid="{10FF26B0-6C4E-4646-BA1B-43502345E47F}" uniqueName="kc_stud">
      <xmlPr mapId="7" xpath="/Pisemnost/DPFDP6/VetaD/@kc_stud" xmlDataType="decimal"/>
    </xmlCellPr>
  </singleXmlCell>
  <singleXmlCell id="54" xr6:uid="{7AB4C40C-7161-4706-ABD9-40C00D8B7ECD}" r="B11" connectionId="0">
    <xmlCellPr id="1" xr6:uid="{B34285FC-5CDC-463A-9C18-F0D8820CB434}" uniqueName="da_slezap">
      <xmlPr mapId="7" xpath="/Pisemnost/DPFDP6/VetaD/@da_slezap" xmlDataType="decimal"/>
    </xmlCellPr>
  </singleXmlCell>
  <singleXmlCell id="55" xr6:uid="{4DBA2E61-01DB-4F03-A50D-E20E4399659C}" r="B54" connectionId="0">
    <xmlCellPr id="1" xr6:uid="{086B629A-6124-48C6-8F5A-8CD0E8BAEE82}" uniqueName="m_manz">
      <xmlPr mapId="7" xpath="/Pisemnost/DPFDP6/VetaD/@m_manz" xmlDataType="decimal"/>
    </xmlCellPr>
  </singleXmlCell>
  <singleXmlCell id="56" xr6:uid="{CA46CBF4-E877-458D-8227-E990AB5AB6AD}" r="B31" connectionId="0">
    <xmlCellPr id="1" xr6:uid="{41410F95-DE98-4243-AC32-F306FEA4C75F}" uniqueName="kc_pzzt">
      <xmlPr mapId="7" xpath="/Pisemnost/DPFDP6/VetaD/@kc_pzzt" xmlDataType="decimal"/>
    </xmlCellPr>
  </singleXmlCell>
  <singleXmlCell id="57" xr6:uid="{E6B10FC3-1591-4A91-BA33-866CD77BF132}" r="B65" connectionId="0">
    <xmlCellPr id="1" xr6:uid="{06358135-B9D4-4BBC-B262-A5C418981EE0}" uniqueName="sleva_rp">
      <xmlPr mapId="7" xpath="/Pisemnost/DPFDP6/VetaD/@sleva_rp" xmlDataType="decimal"/>
    </xmlCellPr>
  </singleXmlCell>
  <singleXmlCell id="58" xr6:uid="{BFA986C1-A57E-46F4-90FC-4EB1A5137D4C}" r="B39" connectionId="0">
    <xmlCellPr id="1" xr6:uid="{6C16C645-9334-4151-91F7-490E89924FFE}" uniqueName="kc_sraz385">
      <xmlPr mapId="7" xpath="/Pisemnost/DPFDP6/VetaD/@kc_sraz385" xmlDataType="decimal"/>
    </xmlCellPr>
  </singleXmlCell>
  <singleXmlCell id="59" xr6:uid="{209578B0-2A0F-411B-B0DB-5A41F66A8BD8}" r="B52" connectionId="0">
    <xmlCellPr id="1" xr6:uid="{1EC5544E-37E5-4707-99E8-33DC60A043D6}" uniqueName="m_detiztpp">
      <xmlPr mapId="7" xpath="/Pisemnost/DPFDP6/VetaD/@m_detiztpp" xmlDataType="decimal"/>
    </xmlCellPr>
  </singleXmlCell>
  <singleXmlCell id="60" xr6:uid="{BE305B42-1A72-4B8E-9258-38E4DA080980}" r="B35" connectionId="0">
    <xmlCellPr id="1" xr6:uid="{1EA8A1AD-2578-44E0-B4C4-976FA2DA4B26}" uniqueName="kc_slevy35c">
      <xmlPr mapId="7" xpath="/Pisemnost/DPFDP6/VetaD/@kc_slevy35c" xmlDataType="decimal"/>
    </xmlCellPr>
  </singleXmlCell>
  <singleXmlCell id="61" xr6:uid="{7F9BC4E3-368A-4286-98FD-A57003C947FE}" r="B53" connectionId="0">
    <xmlCellPr id="1" xr6:uid="{945E3F47-010F-48BB-926B-DCD36AE630FB}" uniqueName="m_invduch">
      <xmlPr mapId="7" xpath="/Pisemnost/DPFDP6/VetaD/@m_invduch" xmlDataType="decimal"/>
    </xmlCellPr>
  </singleXmlCell>
  <singleXmlCell id="62" xr6:uid="{9FCAE747-36A4-4F21-A9F7-E0F9943CEA6E}" r="B61" connectionId="0">
    <xmlCellPr id="1" xr6:uid="{3274E3DB-50B9-43C2-A73F-7F39F887E4ED}" uniqueName="manz_titul">
      <xmlPr mapId="7" xpath="/Pisemnost/DPFDP6/VetaD/@manz_titul" xmlDataType="string"/>
    </xmlCellPr>
  </singleXmlCell>
  <singleXmlCell id="63" xr6:uid="{4DCA0163-F941-4BD8-B97A-FFE252E8B02C}" r="B12" connectionId="0">
    <xmlCellPr id="1" xr6:uid="{F3FE2F68-3FDF-4983-B67B-4FB667072B07}" uniqueName="dap_typ">
      <xmlPr mapId="7" xpath="/Pisemnost/DPFDP6/VetaD/@dap_typ" xmlDataType="string"/>
    </xmlCellPr>
  </singleXmlCell>
  <singleXmlCell id="64" xr6:uid="{7AD55C16-0722-46FB-995E-CDB60E27698A}" r="B27" connectionId="0">
    <xmlCellPr id="1" xr6:uid="{A376FC85-D66B-422C-8EE2-6367F3D9A288}" uniqueName="kc_op15_1e2">
      <xmlPr mapId="7" xpath="/Pisemnost/DPFDP6/VetaD/@kc_op15_1e2" xmlDataType="decimal"/>
    </xmlCellPr>
  </singleXmlCell>
  <singleXmlCell id="65" xr6:uid="{860DC065-DCD9-42D8-829F-9BCAC558CCD1}" r="B19" connectionId="0">
    <xmlCellPr id="1" xr6:uid="{59C4D3C5-3225-4DFB-A30C-393D6BB5BB4C}" uniqueName="kc_dite_ms">
      <xmlPr mapId="7" xpath="/Pisemnost/DPFDP6/VetaD/@kc_dite_ms" xmlDataType="decimal"/>
    </xmlCellPr>
  </singleXmlCell>
  <singleXmlCell id="66" xr6:uid="{9663358C-7B8B-4B5F-A784-D318624065CF}" r="B40" connectionId="0">
    <xmlCellPr id="1" xr6:uid="{D5A7B06C-38CA-40E1-99E9-ED3B841D3A18}" uniqueName="kc_sraz_6_4">
      <xmlPr mapId="7" xpath="/Pisemnost/DPFDP6/VetaD/@kc_sraz_6_4" xmlDataType="decimal"/>
    </xmlCellPr>
  </singleXmlCell>
  <singleXmlCell id="67" xr6:uid="{DA9FC526-79AC-407A-85CE-223A773A2DE5}" r="B73" connectionId="0">
    <xmlCellPr id="1" xr6:uid="{B00EBBB3-3F5D-4F35-A21F-94C2FA891C84}" uniqueName="m_deti2">
      <xmlPr mapId="7" xpath="/Pisemnost/DPFDP6/VetaD/@m_deti2" xmlDataType="decimal"/>
    </xmlCellPr>
  </singleXmlCell>
  <singleXmlCell id="68" xr6:uid="{B14A1706-17A3-4C11-8112-519015C985EB}" r="B75" connectionId="0">
    <xmlCellPr id="1" xr6:uid="{4FB5A919-A9C1-4B70-BF7F-BB8BEF0B66D8}" uniqueName="m_detiztpp2">
      <xmlPr mapId="7" xpath="/Pisemnost/DPFDP6/VetaD/@m_detiztpp2" xmlDataType="decimal"/>
    </xmlCellPr>
  </singleXmlCell>
  <singleXmlCell id="69" xr6:uid="{D612974E-DC0A-454A-A7C3-24355230F931}" r="B74" connectionId="0">
    <xmlCellPr id="1" xr6:uid="{587EC76C-2330-4B5D-AC39-45CF43AC1EBC}" uniqueName="m_deti3">
      <xmlPr mapId="7" xpath="/Pisemnost/DPFDP6/VetaD/@m_deti3" xmlDataType="decimal"/>
    </xmlCellPr>
  </singleXmlCell>
  <singleXmlCell id="70" xr6:uid="{E918B17D-0C05-4ACC-ABC0-102DAF501223}" r="B76" connectionId="0">
    <xmlCellPr id="1" xr6:uid="{01E2D3CF-C16B-4592-98FF-76FA36B25C7A}" uniqueName="m_detiztpp3">
      <xmlPr mapId="7" xpath="/Pisemnost/DPFDP6/VetaD/@m_detiztpp3" xmlDataType="decimal"/>
    </xmlCellPr>
  </singleXmlCell>
  <singleXmlCell id="71" xr6:uid="{00DE4D8D-87E4-4421-BADE-E62C05526403}" r="B77" connectionId="0">
    <xmlCellPr id="1" xr6:uid="{6E2C0FB9-6FAD-4C8D-A3A2-4D3FE08D785D}" uniqueName="manz_d_nar">
      <xmlPr mapId="7" xpath="/Pisemnost/DPFDP6/VetaD/@manz_d_nar" xmlDataType="string"/>
    </xmlCellPr>
  </singleXmlCell>
  <singleXmlCell id="72" xr6:uid="{1BC0808D-7E17-4321-9F5E-EE53133A7581}" r="B80" connectionId="0">
    <xmlCellPr id="1" xr6:uid="{C2C49878-8F7E-4FD9-A465-E6BD85225575}" uniqueName="da_samzakl">
      <xmlPr mapId="7" xpath="/Pisemnost/DPFDP6/VetaD/@da_samzakl" xmlDataType="decimal"/>
    </xmlCellPr>
  </singleXmlCell>
  <singleXmlCell id="73" xr6:uid="{59F8C50E-1CD9-4811-8616-8AAFAE9E6416}" r="B81" connectionId="0">
    <xmlCellPr id="1" xr6:uid="{F003BD50-5FCB-4495-801C-449EA96EADC1}" uniqueName="kc_dan_celk">
      <xmlPr mapId="7" xpath="/Pisemnost/DPFDP6/VetaD/@kc_dan_celk" xmlDataType="decimal"/>
    </xmlCellPr>
  </singleXmlCell>
  <singleXmlCell id="74" xr6:uid="{5B998396-BD32-4669-8079-1DB392EDE9E4}" r="B82" connectionId="0">
    <xmlCellPr id="1" xr6:uid="{A8A140C1-1B63-4B54-868B-84023696535B}" uniqueName="kc_dan_po_db">
      <xmlPr mapId="7" xpath="/Pisemnost/DPFDP6/VetaD/@kc_dan_po_db" xmlDataType="decimal"/>
    </xmlCellPr>
  </singleXmlCell>
  <singleXmlCell id="75" xr6:uid="{9D1F3F18-B412-4804-A261-DE964873EB69}" r="B83" connectionId="0">
    <xmlCellPr id="1" xr6:uid="{C95E6A5A-EBAD-492A-A0AF-AE9A59EF16AD}" uniqueName="kc_db_po_odpd">
      <xmlPr mapId="7" xpath="/Pisemnost/DPFDP6/VetaD/@kc_db_po_odpd" xmlDataType="decimal"/>
    </xmlCellPr>
  </singleXmlCell>
  <singleXmlCell id="76" xr6:uid="{4ED75725-CF73-48A3-B12E-71F7E6066B18}" r="F30" connectionId="0">
    <xmlCellPr id="1" xr6:uid="{DABBB090-715B-4BF1-B1B6-24D2BE69B197}" uniqueName="ulice">
      <xmlPr mapId="7" xpath="/Pisemnost/DPFDP6/VetaP/@ulice" xmlDataType="string"/>
    </xmlCellPr>
  </singleXmlCell>
  <singleXmlCell id="77" xr6:uid="{19CC80F2-8552-4FCC-9EF2-738FD6368D6D}" r="F24" connectionId="0">
    <xmlCellPr id="1" xr6:uid="{A90FE71F-AD98-4475-94FE-0D86261A8761}" uniqueName="psc">
      <xmlPr mapId="7" xpath="/Pisemnost/DPFDP6/VetaP/@psc" xmlDataType="string"/>
    </xmlCellPr>
  </singleXmlCell>
  <singleXmlCell id="78" xr6:uid="{66DBA800-45CA-4A5D-8591-E639F3988D47}" r="F20" connectionId="0">
    <xmlCellPr id="1" xr6:uid="{0184864D-2881-4241-9C80-8ACDC4F3E2E7}" uniqueName="opr_jmeno">
      <xmlPr mapId="7" xpath="/Pisemnost/DPFDP6/VetaP/@opr_jmeno" xmlDataType="string"/>
    </xmlCellPr>
  </singleXmlCell>
  <singleXmlCell id="79" xr6:uid="{AA5C3D6A-3419-4A38-A9BC-75FC9C017A1D}" r="F10" connectionId="0">
    <xmlCellPr id="1" xr6:uid="{28823C61-5F39-4207-B287-D1A219E5EB52}" uniqueName="email">
      <xmlPr mapId="7" xpath="/Pisemnost/DPFDP6/VetaP/@email" xmlDataType="string"/>
    </xmlCellPr>
  </singleXmlCell>
  <singleXmlCell id="80" xr6:uid="{75B3CB7E-930C-44EE-8F76-0D7578FD1445}" r="F39" connectionId="0">
    <xmlCellPr id="1" xr6:uid="{8750264A-717C-4B12-8BD8-054E48875066}" uniqueName="z_ulice">
      <xmlPr mapId="7" xpath="/Pisemnost/DPFDP6/VetaP/@z_ulice" xmlDataType="string"/>
    </xmlCellPr>
  </singleXmlCell>
  <singleXmlCell id="81" xr6:uid="{28B142D5-9359-413B-B2BE-DEBE2EF1AF03}" r="F13" connectionId="0">
    <xmlCellPr id="1" xr6:uid="{F4E088D6-7F61-4498-98AD-7CB45F720207}" uniqueName="krok_c_obce">
      <xmlPr mapId="7" xpath="/Pisemnost/DPFDP6/VetaP/@krok_c_obce" xmlDataType="decimal"/>
    </xmlCellPr>
  </singleXmlCell>
  <singleXmlCell id="82" xr6:uid="{C680B0F5-8006-4510-8C99-46C669F2D243}" r="F36" connectionId="0">
    <xmlCellPr id="1" xr6:uid="{794F06BF-4312-4878-9212-0A2599F29C53}" uniqueName="z_email">
      <xmlPr mapId="7" xpath="/Pisemnost/DPFDP6/VetaP/@z_email" xmlDataType="string"/>
    </xmlCellPr>
  </singleXmlCell>
  <singleXmlCell id="83" xr6:uid="{E8BF2C38-D2FA-4D32-A695-DAF4707C62DF}" r="F40" connectionId="0">
    <xmlCellPr id="1" xr6:uid="{679C5843-5A32-4DA5-A2F4-F0D85FF07DCA}" uniqueName="zast_dat_nar">
      <xmlPr mapId="7" xpath="/Pisemnost/DPFDP6/VetaP/@zast_dat_nar" xmlDataType="string"/>
    </xmlCellPr>
  </singleXmlCell>
  <singleXmlCell id="84" xr6:uid="{A2521FF7-7FD6-4154-9055-FF4867EBFC97}" r="F12" connectionId="0">
    <xmlCellPr id="1" xr6:uid="{6FA3C6B3-7F6F-406E-A906-2AE6CE0FF4E9}" uniqueName="k_stat">
      <xmlPr mapId="7" xpath="/Pisemnost/DPFDP6/VetaP/@k_stat" xmlDataType="string"/>
    </xmlCellPr>
  </singleXmlCell>
  <singleXmlCell id="85" xr6:uid="{FDDA729E-083D-454E-B7ED-885AA20D2C55}" r="F42" connectionId="0">
    <xmlCellPr id="1" xr6:uid="{0EBD93AA-C4C0-4196-8C59-11A1BE193CDA}" uniqueName="zast_ic">
      <xmlPr mapId="7" xpath="/Pisemnost/DPFDP6/VetaP/@zast_ic" xmlDataType="string"/>
    </xmlCellPr>
  </singleXmlCell>
  <singleXmlCell id="86" xr6:uid="{5B085B97-28AA-4EC5-A557-B92435BD3C3A}" r="F43" connectionId="0">
    <xmlCellPr id="1" xr6:uid="{81EC8B8D-B4C4-4715-BC50-5EB6315FF38F}" uniqueName="zast_jmeno">
      <xmlPr mapId="7" xpath="/Pisemnost/DPFDP6/VetaP/@zast_jmeno" xmlDataType="string"/>
    </xmlCellPr>
  </singleXmlCell>
  <singleXmlCell id="87" xr6:uid="{876461ED-4C70-468D-873A-AE9F62C1208A}" r="F44" connectionId="0">
    <xmlCellPr id="1" xr6:uid="{8B579F5C-542D-422E-91E8-849D33BF68EB}" uniqueName="zast_kod">
      <xmlPr mapId="7" xpath="/Pisemnost/DPFDP6/VetaP/@zast_kod" xmlDataType="string"/>
    </xmlCellPr>
  </singleXmlCell>
  <singleXmlCell id="88" xr6:uid="{52A79284-596C-46B5-8ED2-FE95DFF1A2D6}" r="F15" connectionId="0">
    <xmlCellPr id="1" xr6:uid="{32330BFF-2B00-4094-942E-9476E83706FE}" uniqueName="krok_c_pop">
      <xmlPr mapId="7" xpath="/Pisemnost/DPFDP6/VetaP/@krok_c_pop" xmlDataType="decimal"/>
    </xmlCellPr>
  </singleXmlCell>
  <singleXmlCell id="89" xr6:uid="{8F4523CC-1564-4F7D-9563-E02F903D4227}" r="F25" connectionId="0">
    <xmlCellPr id="1" xr6:uid="{F1012FB0-4F61-40B2-A9E8-2FA1D82719C8}" uniqueName="rod_c">
      <xmlPr mapId="7" xpath="/Pisemnost/DPFDP6/VetaP/@rod_c" xmlDataType="string"/>
    </xmlCellPr>
  </singleXmlCell>
  <singleXmlCell id="90" xr6:uid="{BA6C4A94-2280-4891-A79F-322B8EBC12A3}" r="F5" connectionId="0">
    <xmlCellPr id="1" xr6:uid="{52D63ABB-DF9A-4E7C-89BD-B8C32DE2B637}" uniqueName="c_pasu">
      <xmlPr mapId="7" xpath="/Pisemnost/DPFDP6/VetaP/@c_pasu" xmlDataType="string"/>
    </xmlCellPr>
  </singleXmlCell>
  <singleXmlCell id="91" xr6:uid="{05E35C4F-637B-4572-9FA2-27CB180F7877}" r="F29" connectionId="0">
    <xmlCellPr id="1" xr6:uid="{59FB090C-4925-46A4-AB5E-E24B4ABCEA57}" uniqueName="titul">
      <xmlPr mapId="7" xpath="/Pisemnost/DPFDP6/VetaP/@titul" xmlDataType="string"/>
    </xmlCellPr>
  </singleXmlCell>
  <singleXmlCell id="92" xr6:uid="{AC01D3D3-E754-49AA-9538-81D547DCDC33}" r="F26" connectionId="0">
    <xmlCellPr id="1" xr6:uid="{502EDB60-72F1-41F2-8BC9-9B2809A1E708}" uniqueName="rodnepr">
      <xmlPr mapId="7" xpath="/Pisemnost/DPFDP6/VetaP/@rodnepr" xmlDataType="string"/>
    </xmlCellPr>
  </singleXmlCell>
  <singleXmlCell id="93" xr6:uid="{99440C6C-BF24-492B-99AD-21286713FE10}" r="F17" connectionId="0">
    <xmlCellPr id="1" xr6:uid="{A7D1F592-35E7-4D4B-ABE5-ABD840F5DBA2}" uniqueName="krok_psc">
      <xmlPr mapId="7" xpath="/Pisemnost/DPFDP6/VetaP/@krok_psc" xmlDataType="string"/>
    </xmlCellPr>
  </singleXmlCell>
  <singleXmlCell id="94" xr6:uid="{300FF6B0-12C2-457C-96FE-CE6A2E1CF189}" r="F6" connectionId="0">
    <xmlCellPr id="1" xr6:uid="{6EEA3D5E-7206-4675-92D8-602FD212BC91}" uniqueName="c_pop">
      <xmlPr mapId="7" xpath="/Pisemnost/DPFDP6/VetaP/@c_pop" xmlDataType="decimal"/>
    </xmlCellPr>
  </singleXmlCell>
  <singleXmlCell id="95" xr6:uid="{00AA1742-436C-471D-85ED-448F90A8C5B1}" r="F38" connectionId="0">
    <xmlCellPr id="1" xr6:uid="{6E274F7C-73F6-4A6E-BE9A-8F55CF3CBD48}" uniqueName="z_psc">
      <xmlPr mapId="7" xpath="/Pisemnost/DPFDP6/VetaP/@z_psc" xmlDataType="string"/>
    </xmlCellPr>
  </singleXmlCell>
  <singleXmlCell id="96" xr6:uid="{FB02524C-2FF6-40D4-97AC-89ED6C6E2E81}" r="F46" connectionId="0">
    <xmlCellPr id="1" xr6:uid="{B04BC5A5-0A85-4A6F-BC30-5017FA5419B6}" uniqueName="zast_prijmeni">
      <xmlPr mapId="7" xpath="/Pisemnost/DPFDP6/VetaP/@zast_prijmeni" xmlDataType="string"/>
    </xmlCellPr>
  </singleXmlCell>
  <singleXmlCell id="97" xr6:uid="{E4B43BFB-858A-4762-979B-B0D59F60071A}" r="F3" connectionId="0">
    <xmlCellPr id="1" xr6:uid="{40A33863-1D16-493F-8731-FE098F8B1281}" uniqueName="c_obce">
      <xmlPr mapId="7" xpath="/Pisemnost/DPFDP6/VetaP/@c_obce" xmlDataType="decimal"/>
    </xmlCellPr>
  </singleXmlCell>
  <singleXmlCell id="98" xr6:uid="{323C4C64-7112-4305-9B72-84F653DE21E5}" r="F4" connectionId="0">
    <xmlCellPr id="1" xr6:uid="{88E33216-7F3D-418B-ADC9-B15ADF70A472}" uniqueName="c_orient">
      <xmlPr mapId="7" xpath="/Pisemnost/DPFDP6/VetaP/@c_orient" xmlDataType="string"/>
    </xmlCellPr>
  </singleXmlCell>
  <singleXmlCell id="99" xr6:uid="{AA2698BC-A59E-499B-9492-02245B19BFD3}" r="F22" connectionId="0">
    <xmlCellPr id="1" xr6:uid="{DD5F8A5E-BF98-46E3-B455-EA0AE82C8685}" uniqueName="opr_prijmeni">
      <xmlPr mapId="7" xpath="/Pisemnost/DPFDP6/VetaP/@opr_prijmeni" xmlDataType="string"/>
    </xmlCellPr>
  </singleXmlCell>
  <singleXmlCell id="100" xr6:uid="{3DCD1097-09BA-4865-9508-0BFDD901D664}" r="F32" connectionId="0">
    <xmlCellPr id="1" xr6:uid="{11E9302B-2CF3-4E3C-AA29-B94DAE0C25A9}" uniqueName="z_c_obce">
      <xmlPr mapId="7" xpath="/Pisemnost/DPFDP6/VetaP/@z_c_obce" xmlDataType="decimal"/>
    </xmlCellPr>
  </singleXmlCell>
  <singleXmlCell id="101" xr6:uid="{4152FA55-8E81-469F-B02A-3876D710621D}" r="F8" connectionId="0">
    <xmlCellPr id="1" xr6:uid="{3E7BBD6B-3429-4DBA-8D76-EFBF8F41B5FB}" uniqueName="c_telef">
      <xmlPr mapId="7" xpath="/Pisemnost/DPFDP6/VetaP/@c_telef" xmlDataType="string"/>
    </xmlCellPr>
  </singleXmlCell>
  <singleXmlCell id="102" xr6:uid="{199913FE-141B-4534-990A-FE68E7E6CB9A}" r="F37" connectionId="0">
    <xmlCellPr id="1" xr6:uid="{9C7E0E1B-B841-4195-B5EA-A89377CABC4C}" uniqueName="z_naz_obce">
      <xmlPr mapId="7" xpath="/Pisemnost/DPFDP6/VetaP/@z_naz_obce" xmlDataType="string"/>
    </xmlCellPr>
  </singleXmlCell>
  <singleXmlCell id="103" xr6:uid="{601CD92B-2E6D-45E9-B135-BF9E05266425}" r="F16" connectionId="0">
    <xmlCellPr id="1" xr6:uid="{1341BB3D-6F5E-48AD-83DD-25F64C865422}" uniqueName="krok_naz_obce">
      <xmlPr mapId="7" xpath="/Pisemnost/DPFDP6/VetaP/@krok_naz_obce" xmlDataType="string"/>
    </xmlCellPr>
  </singleXmlCell>
  <singleXmlCell id="104" xr6:uid="{DFDFC0CB-5143-4CA5-9267-BEC16FE608EC}" r="F7" connectionId="0">
    <xmlCellPr id="1" xr6:uid="{C9A0A792-A1BB-4526-A256-CBAB59573CD3}" uniqueName="c_pracufo">
      <xmlPr mapId="7" xpath="/Pisemnost/DPFDP6/VetaP/@c_pracufo" xmlDataType="decimal"/>
    </xmlCellPr>
  </singleXmlCell>
  <singleXmlCell id="105" xr6:uid="{4FBCE5D4-B89F-406C-89DB-9BCAE9652446}" r="F23" connectionId="0">
    <xmlCellPr id="1" xr6:uid="{1BC2528F-5AB7-41DC-9B85-F58A70933149}" uniqueName="prijmeni">
      <xmlPr mapId="7" xpath="/Pisemnost/DPFDP6/VetaP/@prijmeni" xmlDataType="string"/>
    </xmlCellPr>
  </singleXmlCell>
  <singleXmlCell id="106" xr6:uid="{C4D3E7BB-D7C4-4FEC-B8E2-D447CA258C86}" r="F35" connectionId="0">
    <xmlCellPr id="1" xr6:uid="{4778E1F7-0AE5-4D10-8A7D-A42BA0A528B7}" uniqueName="z_c_telef">
      <xmlPr mapId="7" xpath="/Pisemnost/DPFDP6/VetaP/@z_c_telef" xmlDataType="string"/>
    </xmlCellPr>
  </singleXmlCell>
  <singleXmlCell id="107" xr6:uid="{37D96F9D-194E-49B1-A642-886A037AD760}" r="F34" connectionId="0">
    <xmlCellPr id="1" xr6:uid="{9350BDE4-74AF-49B8-8EE3-A00816E8F687}" uniqueName="z_c_pop">
      <xmlPr mapId="7" xpath="/Pisemnost/DPFDP6/VetaP/@z_c_pop" xmlDataType="decimal"/>
    </xmlCellPr>
  </singleXmlCell>
  <singleXmlCell id="108" xr6:uid="{94BD117D-0405-482B-A31D-6761FE2160F5}" r="F41" connectionId="0">
    <xmlCellPr id="1" xr6:uid="{D414B4C3-2122-460C-9C98-1D6FB0515172}" uniqueName="zast_ev_cislo">
      <xmlPr mapId="7" xpath="/Pisemnost/DPFDP6/VetaP/@zast_ev_cislo" xmlDataType="string"/>
    </xmlCellPr>
  </singleXmlCell>
  <singleXmlCell id="109" xr6:uid="{9C11C5F1-9750-4837-9FFE-09DCDB0D5667}" r="F45" connectionId="0">
    <xmlCellPr id="1" xr6:uid="{D85CD139-053E-4870-8363-1C5E16C4ACB4}" uniqueName="zast_nazev">
      <xmlPr mapId="7" xpath="/Pisemnost/DPFDP6/VetaP/@zast_nazev" xmlDataType="string"/>
    </xmlCellPr>
  </singleXmlCell>
  <singleXmlCell id="110" xr6:uid="{CED28DAA-EA0C-4EC3-893C-EBB10C832622}" r="F21" connectionId="0">
    <xmlCellPr id="1" xr6:uid="{0CF4511B-3D21-4E00-A79A-4AEFBB95212E}" uniqueName="opr_postaveni">
      <xmlPr mapId="7" xpath="/Pisemnost/DPFDP6/VetaP/@opr_postaveni" xmlDataType="string"/>
    </xmlCellPr>
  </singleXmlCell>
  <singleXmlCell id="111" xr6:uid="{FB0D5053-1E8A-4C7E-9DBA-506C1058CBC4}" r="F28" connectionId="0">
    <xmlCellPr id="1" xr6:uid="{1EC4AEC3-A4DA-4185-97C0-D7B04EDCB02B}" uniqueName="stat">
      <xmlPr mapId="7" xpath="/Pisemnost/DPFDP6/VetaP/@stat" xmlDataType="string"/>
    </xmlCellPr>
  </singleXmlCell>
  <singleXmlCell id="112" xr6:uid="{2BCA97C1-97CC-48D6-85D5-8CEFB1CEA9F7}" r="F9" connectionId="0">
    <xmlCellPr id="1" xr6:uid="{AAB35390-3C46-4160-8A31-9E1059B014D8}" uniqueName="dic">
      <xmlPr mapId="7" xpath="/Pisemnost/DPFDP6/VetaP/@dic" xmlDataType="string"/>
    </xmlCellPr>
  </singleXmlCell>
  <singleXmlCell id="113" xr6:uid="{CE23C5E7-6C58-495A-9522-E0B4CB124A48}" r="F18" connectionId="0">
    <xmlCellPr id="1" xr6:uid="{5DA7ECDA-6A5C-4718-BE31-5C2733BFBF98}" uniqueName="krok_ulice">
      <xmlPr mapId="7" xpath="/Pisemnost/DPFDP6/VetaP/@krok_ulice" xmlDataType="string"/>
    </xmlCellPr>
  </singleXmlCell>
  <singleXmlCell id="114" xr6:uid="{C89724D0-A731-4E44-B045-277F86A9BAA3}" r="F47" connectionId="0">
    <xmlCellPr id="1" xr6:uid="{0B7A59F5-A155-4E26-8034-4B6CADB09CFA}" uniqueName="zast_typ">
      <xmlPr mapId="7" xpath="/Pisemnost/DPFDP6/VetaP/@zast_typ" xmlDataType="string"/>
    </xmlCellPr>
  </singleXmlCell>
  <singleXmlCell id="115" xr6:uid="{3C4133EF-6882-4D03-8E28-FCA0DA3E86D5}" r="F27" connectionId="0">
    <xmlCellPr id="1" xr6:uid="{52EA4A75-4A4C-499C-8CDC-0842EE103787}" uniqueName="st_prislus">
      <xmlPr mapId="7" xpath="/Pisemnost/DPFDP6/VetaP/@st_prislus" xmlDataType="string"/>
    </xmlCellPr>
  </singleXmlCell>
  <singleXmlCell id="116" xr6:uid="{324F0884-5F00-4A62-A8C3-E627A8394762}" r="F19" connectionId="0">
    <xmlCellPr id="1" xr6:uid="{D53104E1-8BE6-48A9-88E1-77BBB968D35F}" uniqueName="naz_obce">
      <xmlPr mapId="7" xpath="/Pisemnost/DPFDP6/VetaP/@naz_obce" xmlDataType="string"/>
    </xmlCellPr>
  </singleXmlCell>
  <singleXmlCell id="117" xr6:uid="{ED6FDA2E-FA92-40D2-9E33-5CC7582B0B80}" r="F33" connectionId="0">
    <xmlCellPr id="1" xr6:uid="{471E4552-A60E-462E-B3CE-693CAF1B5319}" uniqueName="z_c_orient">
      <xmlPr mapId="7" xpath="/Pisemnost/DPFDP6/VetaP/@z_c_orient" xmlDataType="string"/>
    </xmlCellPr>
  </singleXmlCell>
  <singleXmlCell id="118" xr6:uid="{686679D8-827B-4D2C-B267-D559F705DE7F}" r="F14" connectionId="0">
    <xmlCellPr id="1" xr6:uid="{FFF08B6D-8A3B-4E92-8958-4919A010529B}" uniqueName="krok_c_orient">
      <xmlPr mapId="7" xpath="/Pisemnost/DPFDP6/VetaP/@krok_c_orient" xmlDataType="string"/>
    </xmlCellPr>
  </singleXmlCell>
  <singleXmlCell id="119" xr6:uid="{83533790-75E8-4BF6-956E-577891C56AA6}" r="F11" connectionId="0">
    <xmlCellPr id="1" xr6:uid="{2D31300B-6082-472B-809E-05EB440B0ACD}" uniqueName="jmeno">
      <xmlPr mapId="7" xpath="/Pisemnost/DPFDP6/VetaP/@jmeno" xmlDataType="string"/>
    </xmlCellPr>
  </singleXmlCell>
  <singleXmlCell id="120" xr6:uid="{4855D266-0716-42DD-A5FC-35C58D14FF8B}" r="J21" connectionId="0">
    <xmlCellPr id="1" xr6:uid="{50C961C9-195B-4E50-A4B6-A4CDD22DE20C}" uniqueName="kc_ztrata2">
      <xmlPr mapId="7" xpath="/Pisemnost/DPFDP6/VetaO/@kc_ztrata2" xmlDataType="decimal"/>
    </xmlCellPr>
  </singleXmlCell>
  <singleXmlCell id="121" xr6:uid="{340ED28C-2078-4946-A734-710EE65FB77C}" r="J10" connectionId="0">
    <xmlCellPr id="1" xr6:uid="{53EE2A74-4CC0-4E0B-AEBB-70DB5BA176BD}" uniqueName="kc_uhrn">
      <xmlPr mapId="7" xpath="/Pisemnost/DPFDP6/VetaO/@kc_uhrn" xmlDataType="decimal"/>
    </xmlCellPr>
  </singleXmlCell>
  <singleXmlCell id="122" xr6:uid="{9C46B8D6-DFD2-49DC-A755-D743527F70F9}" r="J13" connectionId="0">
    <xmlCellPr id="1" xr6:uid="{7B1BC115-B204-4322-99A7-A1C92AD80FB0}" uniqueName="kc_zakldan">
      <xmlPr mapId="7" xpath="/Pisemnost/DPFDP6/VetaO/@kc_zakldan" xmlDataType="decimal"/>
    </xmlCellPr>
  </singleXmlCell>
  <singleXmlCell id="123" xr6:uid="{96F58FEA-5050-49D7-AD49-06D11B5179AD}" r="J14" connectionId="0">
    <xmlCellPr id="1" xr6:uid="{7A7AFBD2-A7E2-409B-BC22-DAC9AC4D6932}" uniqueName="kc_zakldan23">
      <xmlPr mapId="7" xpath="/Pisemnost/DPFDP6/VetaO/@kc_zakldan23" xmlDataType="decimal"/>
    </xmlCellPr>
  </singleXmlCell>
  <singleXmlCell id="124" xr6:uid="{28826E29-D2B8-422A-980C-382949A9B83D}" r="J15" connectionId="0">
    <xmlCellPr id="1" xr6:uid="{B732BCD5-8DD3-4F44-90E7-6121F5E8C764}" uniqueName="kc_zakldan8">
      <xmlPr mapId="7" xpath="/Pisemnost/DPFDP6/VetaO/@kc_zakldan8" xmlDataType="decimal"/>
    </xmlCellPr>
  </singleXmlCell>
  <singleXmlCell id="125" xr6:uid="{B2399366-A57E-4575-A6E0-84D4B82E9B33}" r="J18" connectionId="0">
    <xmlCellPr id="1" xr6:uid="{7B39B1CF-B9B4-4D13-AB37-F4EAA35F7E10}" uniqueName="kc_zd6p">
      <xmlPr mapId="7" xpath="/Pisemnost/DPFDP6/VetaO/@kc_zd6p" xmlDataType="decimal"/>
    </xmlCellPr>
  </singleXmlCell>
  <singleXmlCell id="126" xr6:uid="{A5314B45-B49D-4AFA-9BBD-6F5C3CA9402C}" r="J7" connectionId="0">
    <xmlCellPr id="1" xr6:uid="{CE5A0A7F-E588-4F36-B2E7-03C3C4C40FDF}" uniqueName="kc_prij6">
      <xmlPr mapId="7" xpath="/Pisemnost/DPFDP6/VetaO/@kc_prij6" xmlDataType="decimal"/>
    </xmlCellPr>
  </singleXmlCell>
  <singleXmlCell id="127" xr6:uid="{D56F4AAF-F4A1-4534-8AE3-1A56D16369CA}" r="J16" connectionId="0">
    <xmlCellPr id="1" xr6:uid="{152D841E-2259-4869-9E74-E73BC01A4FFB}" uniqueName="kc_zd10">
      <xmlPr mapId="7" xpath="/Pisemnost/DPFDP6/VetaO/@kc_zd10" xmlDataType="decimal"/>
    </xmlCellPr>
  </singleXmlCell>
  <singleXmlCell id="128" xr6:uid="{16BABE7C-7AE7-4058-A95C-49A0C33E28D1}" r="J3" connectionId="0">
    <xmlCellPr id="1" xr6:uid="{551C65C7-A81F-4ABB-9D41-7F38DB8FF6C8}" uniqueName="celk_sl5">
      <xmlPr mapId="7" xpath="/Pisemnost/DPFDP6/VetaO/@celk_sl5" xmlDataType="decimal"/>
    </xmlCellPr>
  </singleXmlCell>
  <singleXmlCell id="129" xr6:uid="{B18200A5-399A-432A-AB3D-3EBEF34A3AF0}" r="J9" connectionId="0">
    <xmlCellPr id="1" xr6:uid="{71CF6834-3A01-4825-AF0D-E8B6B7BA0512}" uniqueName="kc_prij6zahr">
      <xmlPr mapId="7" xpath="/Pisemnost/DPFDP6/VetaO/@kc_prij6zahr" xmlDataType="decimal"/>
    </xmlCellPr>
  </singleXmlCell>
  <singleXmlCell id="130" xr6:uid="{568672DE-67A0-4825-9F9C-67A73C2FE73B}" r="J19" connectionId="0">
    <xmlCellPr id="1" xr6:uid="{CDFD0AB0-9492-4349-A8CD-CB6D76E1FFB5}" uniqueName="kc_zd7">
      <xmlPr mapId="7" xpath="/Pisemnost/DPFDP6/VetaO/@kc_zd7" xmlDataType="decimal"/>
    </xmlCellPr>
  </singleXmlCell>
  <singleXmlCell id="131" xr6:uid="{704CC78D-290C-4699-B732-0EE64BC1EBCD}" r="J17" connectionId="0">
    <xmlCellPr id="1" xr6:uid="{A6456029-4DA5-411F-AFCD-1C1B6C45F574}" uniqueName="kc_zd6">
      <xmlPr mapId="7" xpath="/Pisemnost/DPFDP6/VetaO/@kc_zd6" xmlDataType="decimal"/>
    </xmlCellPr>
  </singleXmlCell>
  <singleXmlCell id="132" xr6:uid="{6917D655-5D72-4256-BD2E-10A412DCAF6D}" r="J4" connectionId="0">
    <xmlCellPr id="1" xr6:uid="{7A2AEC50-F946-4F80-AE8C-68EEAA869F39}" uniqueName="kc_dan_zah">
      <xmlPr mapId="7" xpath="/Pisemnost/DPFDP6/VetaO/@kc_dan_zah" xmlDataType="decimal"/>
    </xmlCellPr>
  </singleXmlCell>
  <singleXmlCell id="133" xr6:uid="{05A64EB8-C45E-4427-BAD8-D89C1D33F215}" r="J2" connectionId="0">
    <xmlCellPr id="1" xr6:uid="{23E5C3C3-BA38-4DB5-A7B4-6FC0D61CFFA4}" uniqueName="celk_sl4">
      <xmlPr mapId="7" xpath="/Pisemnost/DPFDP6/VetaO/@celk_sl4" xmlDataType="decimal"/>
    </xmlCellPr>
  </singleXmlCell>
  <singleXmlCell id="134" xr6:uid="{E0B32EBF-1712-4AF5-8D24-B1C6BFEFBD1C}" r="J20" connectionId="0">
    <xmlCellPr id="1" xr6:uid="{62D5E68C-563C-4520-9EF7-E8B8882EE9D5}" uniqueName="kc_zd9">
      <xmlPr mapId="7" xpath="/Pisemnost/DPFDP6/VetaO/@kc_zd9" xmlDataType="decimal"/>
    </xmlCellPr>
  </singleXmlCell>
  <singleXmlCell id="135" xr6:uid="{C1C4C8B8-C0E2-4414-9202-B805182561F4}" r="N14" connectionId="0">
    <xmlCellPr id="1" xr6:uid="{56888FEE-65C4-41DF-85C7-7150F7D9566B}" uniqueName="kc_zdzaokr">
      <xmlPr mapId="7" xpath="/Pisemnost/DPFDP6/VetaS/@kc_zdzaokr" xmlDataType="decimal"/>
    </xmlCellPr>
  </singleXmlCell>
  <singleXmlCell id="136" xr6:uid="{4EFA2941-AC30-495B-B68D-84FF0F0D43C1}" r="N6" connectionId="0">
    <xmlCellPr id="1" xr6:uid="{F56E5248-E4E0-4EFF-8B5F-30F0E6BC0154}" uniqueName="kc_op15_13">
      <xmlPr mapId="7" xpath="/Pisemnost/DPFDP6/VetaS/@kc_op15_13" xmlDataType="decimal"/>
    </xmlCellPr>
  </singleXmlCell>
  <singleXmlCell id="137" xr6:uid="{DE4FE5E0-49AD-439F-AE96-693CC3B39701}" r="N7" connectionId="0">
    <xmlCellPr id="1" xr6:uid="{FF8B3616-E9E2-4E89-8B4C-1824ACA745D1}" uniqueName="kc_op15_14">
      <xmlPr mapId="7" xpath="/Pisemnost/DPFDP6/VetaS/@kc_op15_14" xmlDataType="decimal"/>
    </xmlCellPr>
  </singleXmlCell>
  <singleXmlCell id="138" xr6:uid="{3CC7B064-71F9-4887-B436-7382997C1C36}" r="N4" connectionId="0">
    <xmlCellPr id="1" xr6:uid="{A082D1D0-FA27-4A56-BFDD-8A82786EBD9E}" uniqueName="kc_odcelk">
      <xmlPr mapId="7" xpath="/Pisemnost/DPFDP6/VetaS/@kc_odcelk" xmlDataType="decimal"/>
    </xmlCellPr>
  </singleXmlCell>
  <singleXmlCell id="139" xr6:uid="{67E316FD-375E-4565-83BF-D431E5EA6F58}" r="N3" connectionId="0">
    <xmlCellPr id="1" xr6:uid="{4376D3FC-570E-43AC-A19F-957EC4E32FCF}" uniqueName="kc_dalsivzd">
      <xmlPr mapId="7" xpath="/Pisemnost/DPFDP6/VetaS/@kc_dalsivzd" xmlDataType="decimal"/>
    </xmlCellPr>
  </singleXmlCell>
  <singleXmlCell id="140" xr6:uid="{5D4A972C-7FA4-403D-9A08-3B759D0D1179}" r="N5" connectionId="0">
    <xmlCellPr id="1" xr6:uid="{1EDF79D1-5537-4D27-A31A-BB7DF1AAD448}" uniqueName="kc_op15_12">
      <xmlPr mapId="7" xpath="/Pisemnost/DPFDP6/VetaS/@kc_op15_12" xmlDataType="decimal"/>
    </xmlCellPr>
  </singleXmlCell>
  <singleXmlCell id="141" xr6:uid="{6C1A483A-9020-4841-AC2A-47089C776FC0}" r="N8" connectionId="0">
    <xmlCellPr id="1" xr6:uid="{91FD5E5E-3CA3-43AF-9E20-41151B814307}" uniqueName="kc_op15_8">
      <xmlPr mapId="7" xpath="/Pisemnost/DPFDP6/VetaS/@kc_op15_8" xmlDataType="decimal"/>
    </xmlCellPr>
  </singleXmlCell>
  <singleXmlCell id="142" xr6:uid="{A3CF7657-362D-4B2D-BA3F-C35FF001BD28}" r="N9" connectionId="0">
    <xmlCellPr id="1" xr6:uid="{34B1F21B-C108-42E1-A096-C9C92F6FB09A}" uniqueName="kc_op28_5">
      <xmlPr mapId="7" xpath="/Pisemnost/DPFDP6/VetaS/@kc_op28_5" xmlDataType="decimal"/>
    </xmlCellPr>
  </singleXmlCell>
  <singleXmlCell id="143" xr6:uid="{191ED99F-C8CC-4855-A4D0-0023C90C24F0}" r="N10" connectionId="0">
    <xmlCellPr id="1" xr6:uid="{F37E4740-7AC5-4E29-8E66-43BF528C996F}" uniqueName="kc_op34_4">
      <xmlPr mapId="7" xpath="/Pisemnost/DPFDP6/VetaS/@kc_op34_4" xmlDataType="decimal"/>
    </xmlCellPr>
  </singleXmlCell>
  <singleXmlCell id="144" xr6:uid="{F7E7B884-CE56-4FF8-92ED-77CECC5DA5B4}" r="N12" connectionId="0">
    <xmlCellPr id="1" xr6:uid="{9F3B4E25-F4C5-45DC-905E-4878759A569E}" uniqueName="kc_podvzdel">
      <xmlPr mapId="7" xpath="/Pisemnost/DPFDP6/VetaS/@kc_podvzdel" xmlDataType="decimal"/>
    </xmlCellPr>
  </singleXmlCell>
  <singleXmlCell id="145" xr6:uid="{1691B08C-8A7D-496C-AA99-3885F3EB36CB}" r="N13" connectionId="0">
    <xmlCellPr id="1" xr6:uid="{767DAD3A-E649-48D9-BF5E-FC96282FEBF8}" uniqueName="kc_zdsniz">
      <xmlPr mapId="7" xpath="/Pisemnost/DPFDP6/VetaS/@kc_zdsniz" xmlDataType="decimal"/>
    </xmlCellPr>
  </singleXmlCell>
  <singleXmlCell id="146" xr6:uid="{EBDC124C-DF56-4E0E-A253-C72AD8313AA7}" r="N16" connectionId="0">
    <xmlCellPr id="1" xr6:uid="{5D66ABE8-AB53-4F30-A19C-AD2145404CF0}" uniqueName="m_uroky">
      <xmlPr mapId="7" xpath="/Pisemnost/DPFDP6/VetaS/@m_uroky" xmlDataType="decimal"/>
    </xmlCellPr>
  </singleXmlCell>
  <singleXmlCell id="147" xr6:uid="{4B4A6B9D-9848-4439-87D6-591D0C4367DF}" r="N2" connectionId="0">
    <xmlCellPr id="1" xr6:uid="{577F87D9-EF4A-43C4-81B4-DB7AD48043E5}" uniqueName="da_dan16">
      <xmlPr mapId="7" xpath="/Pisemnost/DPFDP6/VetaS/@da_dan16" xmlDataType="decimal"/>
    </xmlCellPr>
  </singleXmlCell>
  <singleXmlCell id="148" xr6:uid="{8DFC9CA8-01BD-4F0B-8721-3BF7EC7B3B26}" r="J31" connectionId="0">
    <xmlCellPr id="1" xr6:uid="{02424313-112F-47D6-B56C-EF8A9581729D}" uniqueName="dal_prilohy">
      <xmlPr mapId="7" xpath="/Pisemnost/DPFDP6/VetaB/@dal_prilohy" xmlDataType="decimal"/>
    </xmlCellPr>
  </singleXmlCell>
  <singleXmlCell id="149" xr6:uid="{8353DAF4-4723-4380-9FE0-32AD90DAA90C}" r="J32" connectionId="0">
    <xmlCellPr id="1" xr6:uid="{0215E5D4-6F82-49EB-A7D7-3C8A998C46F2}" uniqueName="doklad_dar">
      <xmlPr mapId="7" xpath="/Pisemnost/DPFDP6/VetaB/@doklad_dar" xmlDataType="decimal"/>
    </xmlCellPr>
  </singleXmlCell>
  <singleXmlCell id="150" xr6:uid="{DFB6D273-8AA7-4A22-8C02-6D37BA8BE4C5}" r="J33" connectionId="0">
    <xmlCellPr id="1" xr6:uid="{59E0288C-7775-41E3-9B00-30B09CFFDB70}" uniqueName="duvody_dodap">
      <xmlPr mapId="7" xpath="/Pisemnost/DPFDP6/VetaB/@duvody_dodap" xmlDataType="decimal"/>
    </xmlCellPr>
  </singleXmlCell>
  <singleXmlCell id="151" xr6:uid="{A634E311-16E9-4400-9B9A-F2195152A4C8}" r="J35" connectionId="0">
    <xmlCellPr id="1" xr6:uid="{BDF1AE76-55C0-4526-BFD9-9EC2E1294FD3}" uniqueName="potv_36">
      <xmlPr mapId="7" xpath="/Pisemnost/DPFDP6/VetaB/@potv_36" xmlDataType="decimal"/>
    </xmlCellPr>
  </singleXmlCell>
  <singleXmlCell id="152" xr6:uid="{30852DA0-190B-49B9-86D9-780B413A5C28}" r="J36" connectionId="0">
    <xmlCellPr id="1" xr6:uid="{4D09AFC6-F4CB-434C-98EF-A12C10CD5D02}" uniqueName="potv_dalsivzd">
      <xmlPr mapId="7" xpath="/Pisemnost/DPFDP6/VetaB/@potv_dalsivzd" xmlDataType="decimal"/>
    </xmlCellPr>
  </singleXmlCell>
  <singleXmlCell id="153" xr6:uid="{FD024705-FE88-4395-A565-F5318837C228}" r="J37" connectionId="0">
    <xmlCellPr id="1" xr6:uid="{E912B9D3-B6E2-488B-B40C-1DFAA794203E}" uniqueName="potv_ms">
      <xmlPr mapId="7" xpath="/Pisemnost/DPFDP6/VetaB/@potv_ms" xmlDataType="decimal"/>
    </xmlCellPr>
  </singleXmlCell>
  <singleXmlCell id="154" xr6:uid="{BF4EFAD8-B707-4FBE-B87C-C4CC20D6E877}" r="J38" connectionId="0">
    <xmlCellPr id="1" xr6:uid="{FFD71897-DA36-4DCC-97FF-9927C445136F}" uniqueName="potv_penpri">
      <xmlPr mapId="7" xpath="/Pisemnost/DPFDP6/VetaB/@potv_penpri" xmlDataType="decimal"/>
    </xmlCellPr>
  </singleXmlCell>
  <singleXmlCell id="155" xr6:uid="{3E83FFD6-D761-4A27-95A2-EE617F8EFD45}" r="J40" connectionId="0">
    <xmlCellPr id="1" xr6:uid="{7C474C01-2919-4DB1-A453-2DC958FACD4E}" uniqueName="potv_uver">
      <xmlPr mapId="7" xpath="/Pisemnost/DPFDP6/VetaB/@potv_uver" xmlDataType="decimal"/>
    </xmlCellPr>
  </singleXmlCell>
  <singleXmlCell id="156" xr6:uid="{EF114CD2-A408-41F2-9A42-43D98E9847C1}" r="J41" connectionId="0">
    <xmlCellPr id="1" xr6:uid="{E117E76B-228A-41ED-9CC0-FDDD7AA85BC6}" uniqueName="potv_zahrsd">
      <xmlPr mapId="7" xpath="/Pisemnost/DPFDP6/VetaB/@potv_zahrsd" xmlDataType="decimal"/>
    </xmlCellPr>
  </singleXmlCell>
  <singleXmlCell id="157" xr6:uid="{37819F71-9282-40E8-95A4-E199ED4FAAE6}" r="J42" connectionId="0">
    <xmlCellPr id="1" xr6:uid="{186F1524-D86F-4A2B-80BE-C44CC8E87D51}" uniqueName="potv_zam">
      <xmlPr mapId="7" xpath="/Pisemnost/DPFDP6/VetaB/@potv_zam" xmlDataType="decimal"/>
    </xmlCellPr>
  </singleXmlCell>
  <singleXmlCell id="158" xr6:uid="{4F5AD012-66B6-4405-AD25-0D811ECC7BC2}" r="J43" connectionId="0">
    <xmlCellPr id="1" xr6:uid="{1DD6D14C-8F95-4BC1-B6DF-F0EF31CA7FE6}" uniqueName="potv_zivpoj">
      <xmlPr mapId="7" xpath="/Pisemnost/DPFDP6/VetaB/@potv_zivpoj" xmlDataType="decimal"/>
    </xmlCellPr>
  </singleXmlCell>
  <singleXmlCell id="159" xr6:uid="{C2B3EFA2-09E6-4BF0-934B-EF2D32D0067D}" r="J44" connectionId="0">
    <xmlCellPr id="1" xr6:uid="{35F7AED9-B368-47EE-B832-57BBD4F26525}" uniqueName="pril3_samlist">
      <xmlPr mapId="7" xpath="/Pisemnost/DPFDP6/VetaB/@pril3_samlist" xmlDataType="decimal"/>
    </xmlCellPr>
  </singleXmlCell>
  <singleXmlCell id="160" xr6:uid="{20827A95-9CB2-41F1-B7ED-B12C1346D0E0}" r="J45" connectionId="0">
    <xmlCellPr id="1" xr6:uid="{07D435CA-5D26-4C70-ABBA-F93261517CAB}" uniqueName="pril_poduv">
      <xmlPr mapId="7" xpath="/Pisemnost/DPFDP6/VetaB/@pril_poduv" xmlDataType="decimal"/>
    </xmlCellPr>
  </singleXmlCell>
  <singleXmlCell id="161" xr6:uid="{28F512AE-D0B8-4BCC-BDDF-BA596AE7166A}" r="J46" connectionId="0">
    <xmlCellPr id="1" xr6:uid="{516F40CF-6C4F-436B-928B-A45F33495EFE}" uniqueName="pril_ztraty">
      <xmlPr mapId="7" xpath="/Pisemnost/DPFDP6/VetaB/@pril_ztraty" xmlDataType="decimal"/>
    </xmlCellPr>
  </singleXmlCell>
  <singleXmlCell id="162" xr6:uid="{24159EB3-407F-41E1-A8C5-1C65EB8CC37E}" r="J47" connectionId="0">
    <xmlCellPr id="1" xr6:uid="{567164A6-A9A2-4D0C-9678-93965B4004FC}" uniqueName="priloh_celk">
      <xmlPr mapId="7" xpath="/Pisemnost/DPFDP6/VetaB/@priloh_celk" xmlDataType="decimal"/>
    </xmlCellPr>
  </singleXmlCell>
  <singleXmlCell id="163" xr6:uid="{220DF315-7D94-4328-9DEA-99E2257C083C}" r="J48" connectionId="0">
    <xmlCellPr id="1" xr6:uid="{926E6AD3-462A-4231-9886-066F0CED3981}" uniqueName="priloha1">
      <xmlPr mapId="7" xpath="/Pisemnost/DPFDP6/VetaB/@priloha1" xmlDataType="string"/>
    </xmlCellPr>
  </singleXmlCell>
  <singleXmlCell id="164" xr6:uid="{053DA751-D104-44E9-929D-8456F9A77B7F}" r="J49" connectionId="0">
    <xmlCellPr id="1" xr6:uid="{20DAC252-314F-4684-9A19-147529223DD7}" uniqueName="priloha2">
      <xmlPr mapId="7" xpath="/Pisemnost/DPFDP6/VetaB/@priloha2" xmlDataType="string"/>
    </xmlCellPr>
  </singleXmlCell>
  <singleXmlCell id="165" xr6:uid="{E61D38B5-D74D-41BE-B3CF-F14694AECFC7}" r="J50" connectionId="0">
    <xmlCellPr id="1" xr6:uid="{A3663907-C501-456D-AC3F-D265410E2201}" uniqueName="seznam">
      <xmlPr mapId="7" xpath="/Pisemnost/DPFDP6/VetaB/@seznam" xmlDataType="decimal"/>
    </xmlCellPr>
  </singleXmlCell>
  <singleXmlCell id="166" xr6:uid="{B24E96EA-6FA2-4BDC-8AD4-AE3B008E1064}" r="J51" connectionId="0">
    <xmlCellPr id="1" xr6:uid="{CC076119-2BCE-429A-B80A-1CA5B0366208}" uniqueName="vklad_ku">
      <xmlPr mapId="7" xpath="/Pisemnost/DPFDP6/VetaB/@vklad_ku" xmlDataType="decimal"/>
    </xmlCellPr>
  </singleXmlCell>
  <singleXmlCell id="167" xr6:uid="{ECD229DA-5964-4891-A096-A245DD5D03C4}" r="J52" connectionId="0">
    <xmlCellPr id="1" xr6:uid="{22E388DF-799E-4B59-B390-D3B4745021F1}" uniqueName="potv_dazvyh">
      <xmlPr mapId="7" xpath="/Pisemnost/DPFDP6/VetaB/@potv_dazvyh" xmlDataType="decimal"/>
    </xmlCellPr>
  </singleXmlCell>
  <singleXmlCell id="168" xr6:uid="{2924D097-8546-4DCF-8C9A-361349323104}" r="J53" connectionId="0">
    <xmlCellPr id="1" xr6:uid="{E703DD99-7A1E-41E1-8961-2AA6639BD92D}" uniqueName="pril_loto">
      <xmlPr mapId="7" xpath="/Pisemnost/DPFDP6/VetaB/@pril_loto" xmlDataType="decimal"/>
    </xmlCellPr>
  </singleXmlCell>
  <singleXmlCell id="169" xr6:uid="{2AF87D1B-96AD-4C15-BBC6-E6CF9578BFC7}" r="J54" connectionId="0">
    <xmlCellPr id="1" xr6:uid="{D51B5302-0C1D-48F7-8517-3CB64AB0DEBC}" uniqueName="priloha4">
      <xmlPr mapId="7" xpath="/Pisemnost/DPFDP6/VetaB/@priloha4" xmlDataType="decimal"/>
    </xmlCellPr>
  </singleXmlCell>
  <singleXmlCell id="171" xr6:uid="{4391B225-84E1-4CFE-9EDC-9D8170ECC0DF}" r="N31" connectionId="0">
    <xmlCellPr id="1" xr6:uid="{43FB18DE-2AD4-41B0-9919-42A413B9783C}" uniqueName="c_nace">
      <xmlPr mapId="7" xpath="/Pisemnost/DPFDP6/VetaT/@c_nace" xmlDataType="decimal"/>
    </xmlCellPr>
  </singleXmlCell>
  <singleXmlCell id="172" xr6:uid="{E362544E-FD22-4A82-BCB7-8396EF7D0F0E}" r="N34" connectionId="0">
    <xmlCellPr id="1" xr6:uid="{C3038BEA-FC61-47FF-92EE-2ED13A8D6467}" uniqueName="d_obnocin">
      <xmlPr mapId="7" xpath="/Pisemnost/DPFDP6/VetaT/@d_obnocin" xmlDataType="string"/>
    </xmlCellPr>
  </singleXmlCell>
  <singleXmlCell id="173" xr6:uid="{B4EEEA7C-BCB7-4B5E-A002-744C802E028B}" r="N47" connectionId="0">
    <xmlCellPr id="1" xr6:uid="{A3160C54-CE1C-44E2-8BAC-DB7FCA1CD143}" uniqueName="kc_uhzvys">
      <xmlPr mapId="7" xpath="/Pisemnost/DPFDP6/VetaT/@kc_uhzvys" xmlDataType="decimal"/>
    </xmlCellPr>
  </singleXmlCell>
  <singleXmlCell id="174" xr6:uid="{18C7543A-DF3D-4DD9-B165-FAB509C07537}" r="N40" connectionId="0">
    <xmlCellPr id="1" xr6:uid="{0CE864FC-D412-4D4B-8150-FCF4E7A8D3F9}" uniqueName="kc_odpcelk">
      <xmlPr mapId="7" xpath="/Pisemnost/DPFDP6/VetaT/@kc_odpcelk" xmlDataType="decimal"/>
    </xmlCellPr>
  </singleXmlCell>
  <singleXmlCell id="175" xr6:uid="{DE8C70BF-840C-4FC9-A6AE-99F0CA686563}" r="N54" connectionId="0">
    <xmlCellPr id="1" xr6:uid="{05FAB617-7F6A-4651-83D3-DD191345D641}" uniqueName="pr_prij7">
      <xmlPr mapId="7" xpath="/Pisemnost/DPFDP6/VetaT/@pr_prij7" xmlDataType="decimal"/>
    </xmlCellPr>
  </singleXmlCell>
  <singleXmlCell id="176" xr6:uid="{ABB8DF9B-80D4-4C4E-8883-B9C92E6B15A3}" r="N35" connectionId="0">
    <xmlCellPr id="1" xr6:uid="{E1FADBEB-29F7-4DBA-A315-7BFB93A7CFB0}" uniqueName="d_precin">
      <xmlPr mapId="7" xpath="/Pisemnost/DPFDP6/VetaT/@d_precin" xmlDataType="string"/>
    </xmlCellPr>
  </singleXmlCell>
  <singleXmlCell id="177" xr6:uid="{F986D2B9-70AB-481F-A115-608E056B7AD1}" r="N45" connectionId="0">
    <xmlCellPr id="1" xr6:uid="{CE1EE47F-BE45-4DC0-87A4-DF6EA92CB76D}" uniqueName="kc_prij7">
      <xmlPr mapId="7" xpath="/Pisemnost/DPFDP6/VetaT/@kc_prij7" xmlDataType="decimal"/>
    </xmlCellPr>
  </singleXmlCell>
  <singleXmlCell id="178" xr6:uid="{6581BF14-AB74-407C-95B6-0AC6AA67D96B}" r="N46" connectionId="0">
    <xmlCellPr id="1" xr6:uid="{49F906B7-B6C7-4B02-A428-1CD9AFAA7668}" uniqueName="kc_uhsniz">
      <xmlPr mapId="7" xpath="/Pisemnost/DPFDP6/VetaT/@kc_uhsniz" xmlDataType="decimal"/>
    </xmlCellPr>
  </singleXmlCell>
  <singleXmlCell id="179" xr6:uid="{94C6EED0-F448-494C-A325-7DAC297885EC}" r="N32" connectionId="0">
    <xmlCellPr id="1" xr6:uid="{009ABCB7-8898-47C5-9487-8A03307AD515}" uniqueName="celk_pr_prij7">
      <xmlPr mapId="7" xpath="/Pisemnost/DPFDP6/VetaT/@celk_pr_prij7" xmlDataType="decimal"/>
    </xmlCellPr>
  </singleXmlCell>
  <singleXmlCell id="180" xr6:uid="{C53CA921-1990-4C5C-B5A9-B00968DAA4B9}" r="N50" connectionId="0">
    <xmlCellPr id="1" xr6:uid="{95C02EB7-D884-4F5F-9007-A0F82D525E0C}" uniqueName="kc_vyd_vaso">
      <xmlPr mapId="7" xpath="/Pisemnost/DPFDP6/VetaT/@kc_vyd_vaso" xmlDataType="decimal"/>
    </xmlCellPr>
  </singleXmlCell>
  <singleXmlCell id="181" xr6:uid="{0FB67278-DBB9-400A-8782-7CDC11D2F9FA}" r="N51" connectionId="0">
    <xmlCellPr id="1" xr6:uid="{BCBB4890-E747-4AB2-B0E6-2A46DE9BD7D2}" uniqueName="kc_zd7p">
      <xmlPr mapId="7" xpath="/Pisemnost/DPFDP6/VetaT/@kc_zd7p" xmlDataType="decimal"/>
    </xmlCellPr>
  </singleXmlCell>
  <singleXmlCell id="182" xr6:uid="{DC41C162-0BA4-4D67-B3DA-6388B99A0729}" r="N49" connectionId="0">
    <xmlCellPr id="1" xr6:uid="{A537591D-2ED5-4DDF-8D2B-070FCD2ECDC8}" uniqueName="kc_vyd_so">
      <xmlPr mapId="7" xpath="/Pisemnost/DPFDP6/VetaT/@kc_vyd_so" xmlDataType="decimal"/>
    </xmlCellPr>
  </singleXmlCell>
  <singleXmlCell id="183" xr6:uid="{63D24CFB-CF86-4DFE-A342-DA55F79252A2}" r="N33" connectionId="0">
    <xmlCellPr id="1" xr6:uid="{1E3AF973-D489-4FEA-A4E0-58331857A800}" uniqueName="celk_pr_vyd7">
      <xmlPr mapId="7" xpath="/Pisemnost/DPFDP6/VetaT/@celk_pr_vyd7" xmlDataType="decimal"/>
    </xmlCellPr>
  </singleXmlCell>
  <singleXmlCell id="184" xr6:uid="{05295A2B-9503-45C3-982D-21F0D210A3B5}" r="N53" connectionId="0">
    <xmlCellPr id="1" xr6:uid="{702BA600-CA95-4B42-BFF4-738F7DF7F400}" uniqueName="m_podnik">
      <xmlPr mapId="7" xpath="/Pisemnost/DPFDP6/VetaT/@m_podnik" xmlDataType="decimal"/>
    </xmlCellPr>
  </singleXmlCell>
  <singleXmlCell id="185" xr6:uid="{C8E959BB-7600-4A28-802B-911F0AFD0B5E}" r="N41" connectionId="0">
    <xmlCellPr id="1" xr6:uid="{D927B757-4C04-42CE-BA59-05533734B22D}" uniqueName="kc_odpnem">
      <xmlPr mapId="7" xpath="/Pisemnost/DPFDP6/VetaT/@kc_odpnem" xmlDataType="decimal"/>
    </xmlCellPr>
  </singleXmlCell>
  <singleXmlCell id="186" xr6:uid="{52236460-AF36-47E0-82A5-054F4211DEC5}" r="N58" connectionId="0">
    <xmlCellPr id="1" xr6:uid="{A697B121-EAED-4F66-9FA7-44734577C03A}" uniqueName="vyd7proc">
      <xmlPr mapId="7" xpath="/Pisemnost/DPFDP6/VetaT/@vyd7proc" xmlDataType="string"/>
    </xmlCellPr>
  </singleXmlCell>
  <singleXmlCell id="187" xr6:uid="{079D13D1-1914-42C2-966D-9CB41FAD6D75}" r="N38" connectionId="0">
    <xmlCellPr id="1" xr6:uid="{1572100F-72CE-4FCF-9BCF-8F05834C753E}" uniqueName="kc_cisobr">
      <xmlPr mapId="7" xpath="/Pisemnost/DPFDP6/VetaT/@kc_cisobr" xmlDataType="decimal"/>
    </xmlCellPr>
  </singleXmlCell>
  <singleXmlCell id="188" xr6:uid="{3883B5B1-4D11-4AA2-B17F-F56FDB8C9E1A}" r="N37" connectionId="0">
    <xmlCellPr id="1" xr6:uid="{07FFB6CA-52FF-4BBB-8212-59904C90B07C}" uniqueName="d_zahcin">
      <xmlPr mapId="7" xpath="/Pisemnost/DPFDP6/VetaT/@d_zahcin" xmlDataType="string"/>
    </xmlCellPr>
  </singleXmlCell>
  <singleXmlCell id="189" xr6:uid="{B063E769-1380-45B1-81B8-D7A280DE58EC}" r="N39" connectionId="0">
    <xmlCellPr id="1" xr6:uid="{DA9EDF08-B427-4A22-A22C-6CC22862A2E1}" uniqueName="kc_hosp_rozd">
      <xmlPr mapId="7" xpath="/Pisemnost/DPFDP6/VetaT/@kc_hosp_rozd" xmlDataType="decimal"/>
    </xmlCellPr>
  </singleXmlCell>
  <singleXmlCell id="190" xr6:uid="{EA7335B9-7ECF-4FF1-8F2F-85D22BB17ECA}" r="N36" connectionId="0">
    <xmlCellPr id="1" xr6:uid="{B74DA9CA-977D-4290-AB96-058A22F0AA21}" uniqueName="d_ukoncin">
      <xmlPr mapId="7" xpath="/Pisemnost/DPFDP6/VetaT/@d_ukoncin" xmlDataType="string"/>
    </xmlCellPr>
  </singleXmlCell>
  <singleXmlCell id="192" xr6:uid="{B2C0240A-3817-44BC-9DE3-53DF828AD91A}" r="N55" connectionId="0">
    <xmlCellPr id="1" xr6:uid="{7DAB786B-99BD-431F-9081-C03584956C62}" uniqueName="pr_sazba">
      <xmlPr mapId="7" xpath="/Pisemnost/DPFDP6/VetaT/@pr_sazba" xmlDataType="decimal"/>
    </xmlCellPr>
  </singleXmlCell>
  <singleXmlCell id="194" xr6:uid="{B1EF5F2F-3498-453C-A890-A3079D7D7C4B}" r="N44" connectionId="0">
    <xmlCellPr id="1" xr6:uid="{BB6A4E6E-82E3-48B2-AC66-C835D0D86393}" uniqueName="kc_pod_vaso">
      <xmlPr mapId="7" xpath="/Pisemnost/DPFDP6/VetaT/@kc_pod_vaso" xmlDataType="decimal"/>
    </xmlCellPr>
  </singleXmlCell>
  <singleXmlCell id="195" xr6:uid="{8E5C5AB0-FC56-4E06-9D23-69C5A8D1567E}" r="N42" connectionId="0">
    <xmlCellPr id="1" xr6:uid="{6BB3AF41-BE96-460D-88FD-2D24294CC520}" uniqueName="kc_pod_komp">
      <xmlPr mapId="7" xpath="/Pisemnost/DPFDP6/VetaT/@kc_pod_komp" xmlDataType="decimal"/>
    </xmlCellPr>
  </singleXmlCell>
  <singleXmlCell id="196" xr6:uid="{0CF186B3-4060-423E-B613-3F925D837BF5}" r="N43" connectionId="0">
    <xmlCellPr id="1" xr6:uid="{266D99CA-D01C-42B7-9BDB-660E41FC912D}" uniqueName="kc_pod_so">
      <xmlPr mapId="7" xpath="/Pisemnost/DPFDP6/VetaT/@kc_pod_so" xmlDataType="decimal"/>
    </xmlCellPr>
  </singleXmlCell>
  <singleXmlCell id="197" xr6:uid="{84B589FE-9BBE-42B7-B2CF-F355A0E09AC8}" r="N57" connectionId="0">
    <xmlCellPr id="1" xr6:uid="{1C31E31E-CA65-4EDC-AA28-A8E4823C0F2E}" uniqueName="uc_soust">
      <xmlPr mapId="7" xpath="/Pisemnost/DPFDP6/VetaT/@uc_soust" xmlDataType="string"/>
    </xmlCellPr>
  </singleXmlCell>
  <singleXmlCell id="198" xr6:uid="{8429777D-7E8A-473D-B00B-8DAC241E9217}" r="F61" connectionId="0">
    <xmlCellPr id="1" xr6:uid="{B4CFAD87-C8C9-452A-B271-8B48EDE57353}" uniqueName="kc_dpfmz02">
      <xmlPr mapId="7" xpath="/Pisemnost/DPFDP6/VetaU/@kc_dpfmz02" xmlDataType="decimal"/>
    </xmlCellPr>
  </singleXmlCell>
  <singleXmlCell id="199" xr6:uid="{7E47AB93-DFCB-4964-A49C-FC3CFBA5E38B}" r="F62" connectionId="0">
    <xmlCellPr id="1" xr6:uid="{6036B26D-D3E6-4BA5-B838-716006B5BB3E}" uniqueName="kc_dpfmz03">
      <xmlPr mapId="7" xpath="/Pisemnost/DPFDP6/VetaU/@kc_dpfmz03" xmlDataType="decimal"/>
    </xmlCellPr>
  </singleXmlCell>
  <singleXmlCell id="200" xr6:uid="{CB77DBB9-6814-4A15-9562-B7868E7D3777}" r="F63" connectionId="0">
    <xmlCellPr id="1" xr6:uid="{7CE92717-D653-44FA-B9A6-98C3F1B735B8}" uniqueName="kc_dpfmz04">
      <xmlPr mapId="7" xpath="/Pisemnost/DPFDP6/VetaU/@kc_dpfmz04" xmlDataType="decimal"/>
    </xmlCellPr>
  </singleXmlCell>
  <singleXmlCell id="201" xr6:uid="{9CA67184-CB27-41EE-8936-9C3261DDCBFC}" r="F64" connectionId="0">
    <xmlCellPr id="1" xr6:uid="{C0392D54-C843-40D9-85E4-E0973F04792C}" uniqueName="kc_dpfmz05a">
      <xmlPr mapId="7" xpath="/Pisemnost/DPFDP6/VetaU/@kc_dpfmz05a" xmlDataType="decimal"/>
    </xmlCellPr>
  </singleXmlCell>
  <singleXmlCell id="202" xr6:uid="{12EC7C8A-8934-44F0-AF3C-26F1E36081A1}" r="F65" connectionId="0">
    <xmlCellPr id="1" xr6:uid="{4958FEE6-FA38-4825-8F00-0EC3782730E6}" uniqueName="kc_dpfmz06">
      <xmlPr mapId="7" xpath="/Pisemnost/DPFDP6/VetaU/@kc_dpfmz06" xmlDataType="decimal"/>
    </xmlCellPr>
  </singleXmlCell>
  <singleXmlCell id="203" xr6:uid="{EEE6ACBD-16FA-4494-9885-A3FE98D5E330}" r="F66" connectionId="0">
    <xmlCellPr id="1" xr6:uid="{2BDCA7D9-04B2-4685-A9B2-4D6B16D73867}" uniqueName="kc_dpfmz08">
      <xmlPr mapId="7" xpath="/Pisemnost/DPFDP6/VetaU/@kc_dpfmz08" xmlDataType="decimal"/>
    </xmlCellPr>
  </singleXmlCell>
  <singleXmlCell id="205" xr6:uid="{B2FD99BA-4CAA-4F97-82DC-2E1FB57D7275}" r="F67" connectionId="0">
    <xmlCellPr id="1" xr6:uid="{B3B0595D-731C-493F-9CFC-692C7570DC60}" uniqueName="kc_dpfmz10">
      <xmlPr mapId="7" xpath="/Pisemnost/DPFDP6/VetaU/@kc_dpfmz10" xmlDataType="decimal"/>
    </xmlCellPr>
  </singleXmlCell>
  <singleXmlCell id="206" xr6:uid="{EDA1C160-6E21-4BFC-AB64-C5991B96E274}" r="F68" connectionId="0">
    <xmlCellPr id="1" xr6:uid="{6D51A71D-E6B7-475E-82FB-36DDFE4400A3}" uniqueName="kc_dpfmz11">
      <xmlPr mapId="7" xpath="/Pisemnost/DPFDP6/VetaU/@kc_dpfmz11" xmlDataType="decimal"/>
    </xmlCellPr>
  </singleXmlCell>
  <singleXmlCell id="207" xr6:uid="{BB6C8E5E-7D97-414B-9B15-1A356E09AFD5}" r="F69" connectionId="0">
    <xmlCellPr id="1" xr6:uid="{E098195C-9C2F-4DE0-9357-C4391262DC27}" uniqueName="kc_dpfmz18">
      <xmlPr mapId="7" xpath="/Pisemnost/DPFDP6/VetaU/@kc_dpfmz18" xmlDataType="decimal"/>
    </xmlCellPr>
  </singleXmlCell>
  <singleXmlCell id="208" xr6:uid="{46EE4A0B-3144-42BC-901E-D4A462B8D727}" r="F70" connectionId="0">
    <xmlCellPr id="1" xr6:uid="{563E55EE-FDB8-4135-AE62-CD799C2438EC}" uniqueName="kc_z_dpfmz02">
      <xmlPr mapId="7" xpath="/Pisemnost/DPFDP6/VetaU/@kc_z_dpfmz02" xmlDataType="decimal"/>
    </xmlCellPr>
  </singleXmlCell>
  <singleXmlCell id="209" xr6:uid="{EFE6883B-2163-4D63-BEC0-0941DBD37781}" r="F71" connectionId="0">
    <xmlCellPr id="1" xr6:uid="{BE906EA8-D95F-40CF-891A-B802BE0CF1F8}" uniqueName="kc_z_dpfmz03">
      <xmlPr mapId="7" xpath="/Pisemnost/DPFDP6/VetaU/@kc_z_dpfmz03" xmlDataType="decimal"/>
    </xmlCellPr>
  </singleXmlCell>
  <singleXmlCell id="210" xr6:uid="{07D61FF8-B1CA-4247-BAD9-9B8BAF239344}" r="F72" connectionId="0">
    <xmlCellPr id="1" xr6:uid="{D3328E3B-D4BD-425E-AD29-F2B9F2DA5BAD}" uniqueName="kc_z_dpfmz04">
      <xmlPr mapId="7" xpath="/Pisemnost/DPFDP6/VetaU/@kc_z_dpfmz04" xmlDataType="decimal"/>
    </xmlCellPr>
  </singleXmlCell>
  <singleXmlCell id="211" xr6:uid="{CE2D3FE2-985D-461A-AC30-524F42AD574B}" r="F73" connectionId="0">
    <xmlCellPr id="1" xr6:uid="{ED653863-4A1D-47A4-A8DB-6DB15A4C7763}" uniqueName="kc_z_dpfmz05a">
      <xmlPr mapId="7" xpath="/Pisemnost/DPFDP6/VetaU/@kc_z_dpfmz05a" xmlDataType="decimal"/>
    </xmlCellPr>
  </singleXmlCell>
  <singleXmlCell id="212" xr6:uid="{8163604C-26D7-4278-9FB5-740235E7FFBF}" r="F74" connectionId="0">
    <xmlCellPr id="1" xr6:uid="{4EBC9E79-01E4-4873-A959-48C8E760E1FD}" uniqueName="kc_z_dpfmz06">
      <xmlPr mapId="7" xpath="/Pisemnost/DPFDP6/VetaU/@kc_z_dpfmz06" xmlDataType="decimal"/>
    </xmlCellPr>
  </singleXmlCell>
  <singleXmlCell id="213" xr6:uid="{B5040A3B-60CD-4933-A13B-B56B3F9CFE3B}" r="F75" connectionId="0">
    <xmlCellPr id="1" xr6:uid="{A9BE2E15-792A-46CC-AB2C-8F4E1CE6990B}" uniqueName="kc_z_dpfmz08">
      <xmlPr mapId="7" xpath="/Pisemnost/DPFDP6/VetaU/@kc_z_dpfmz08" xmlDataType="decimal"/>
    </xmlCellPr>
  </singleXmlCell>
  <singleXmlCell id="214" xr6:uid="{3539193C-C65F-420A-9DF2-5489F9B7AE2D}" r="F76" connectionId="0">
    <xmlCellPr id="1" xr6:uid="{1A85C468-FC59-44FD-B5DE-CF85B371062F}" uniqueName="kc_z_dpfmz10">
      <xmlPr mapId="7" xpath="/Pisemnost/DPFDP6/VetaU/@kc_z_dpfmz10" xmlDataType="decimal"/>
    </xmlCellPr>
  </singleXmlCell>
  <singleXmlCell id="215" xr6:uid="{001AE888-10D2-4BE1-8318-ED5BC44D04D7}" r="F77" connectionId="0">
    <xmlCellPr id="1" xr6:uid="{28F5903F-1A9A-45FC-A417-11850775CB2E}" uniqueName="kc_z_dpfmz11">
      <xmlPr mapId="7" xpath="/Pisemnost/DPFDP6/VetaU/@kc_z_dpfmz11" xmlDataType="decimal"/>
    </xmlCellPr>
  </singleXmlCell>
  <singleXmlCell id="216" xr6:uid="{0855C1EB-9614-4C69-ABEF-D6DA9B5F55C6}" r="J61" connectionId="0">
    <xmlCellPr id="1" xr6:uid="{0CC80B23-FBCC-4B23-8CDD-784930EE5D57}" uniqueName="kc_par9_nem">
      <xmlPr mapId="7" xpath="/Pisemnost/DPFDP6/VetaV/@kc_par9_nem" xmlDataType="decimal"/>
    </xmlCellPr>
  </singleXmlCell>
  <singleXmlCell id="217" xr6:uid="{0EF7E3C7-419F-4C0D-964F-FFEDC1E2DCFD}" r="J62" connectionId="0">
    <xmlCellPr id="1" xr6:uid="{DB4E7710-DC31-454F-A6F4-242F98B27596}" uniqueName="kc_prij10">
      <xmlPr mapId="7" xpath="/Pisemnost/DPFDP6/VetaV/@kc_prij10" xmlDataType="decimal"/>
    </xmlCellPr>
  </singleXmlCell>
  <singleXmlCell id="218" xr6:uid="{FC73EB8F-55C1-47FF-80AF-72E37278398B}" r="J63" connectionId="0">
    <xmlCellPr id="1" xr6:uid="{38A661DD-6367-4EA9-8E4D-2D3DE2E0B3B8}" uniqueName="kc_prij9">
      <xmlPr mapId="7" xpath="/Pisemnost/DPFDP6/VetaV/@kc_prij9" xmlDataType="decimal"/>
    </xmlCellPr>
  </singleXmlCell>
  <singleXmlCell id="219" xr6:uid="{B9670FEF-183C-45D5-A9A0-9BE88101944F}" r="J64" connectionId="0">
    <xmlCellPr id="1" xr6:uid="{0229BCAC-799A-43B8-9188-CB09B28DA038}" uniqueName="kc_rezerv_k">
      <xmlPr mapId="7" xpath="/Pisemnost/DPFDP6/VetaV/@kc_rezerv_k" xmlDataType="decimal"/>
    </xmlCellPr>
  </singleXmlCell>
  <singleXmlCell id="221" xr6:uid="{58C4A103-B815-4425-A71F-CF2E68CBC0CC}" r="J65" connectionId="0">
    <xmlCellPr id="1" xr6:uid="{1D125569-A8DD-4E7F-B2A4-172DEC3DE5F1}" uniqueName="kc_rezerv_z">
      <xmlPr mapId="7" xpath="/Pisemnost/DPFDP6/VetaV/@kc_rezerv_z" xmlDataType="decimal"/>
    </xmlCellPr>
  </singleXmlCell>
  <singleXmlCell id="222" xr6:uid="{2E7C0627-2C40-4B91-B129-F59706AE904E}" r="J66" connectionId="0">
    <xmlCellPr id="1" xr6:uid="{A3ABCE06-D556-419E-B081-26460786ADBA}" uniqueName="kc_rozdil9">
      <xmlPr mapId="7" xpath="/Pisemnost/DPFDP6/VetaV/@kc_rozdil9" xmlDataType="decimal"/>
    </xmlCellPr>
  </singleXmlCell>
  <singleXmlCell id="224" xr6:uid="{D95A289E-CC37-4DDC-A600-B3937DCE3981}" r="J68" connectionId="0">
    <xmlCellPr id="1" xr6:uid="{DB3E0D67-9A67-4AEB-BBA2-661E044FC1B0}" uniqueName="kc_vyd10">
      <xmlPr mapId="7" xpath="/Pisemnost/DPFDP6/VetaV/@kc_vyd10" xmlDataType="decimal"/>
    </xmlCellPr>
  </singleXmlCell>
  <singleXmlCell id="225" xr6:uid="{73F72C05-1E8B-4CE3-A57A-056CB69668A5}" r="J69" connectionId="0">
    <xmlCellPr id="1" xr6:uid="{569CA71B-7EEA-4E96-B09F-04E567DB7D82}" uniqueName="kc_vyd9">
      <xmlPr mapId="7" xpath="/Pisemnost/DPFDP6/VetaV/@kc_vyd9" xmlDataType="decimal"/>
    </xmlCellPr>
  </singleXmlCell>
  <singleXmlCell id="226" xr6:uid="{2B0E2982-83DA-40E6-8148-631A96B3DAD3}" r="J70" connectionId="0">
    <xmlCellPr id="1" xr6:uid="{C8B4134C-B4F0-4E6F-9905-CCA58AD5FC83}" uniqueName="kc_zd10p">
      <xmlPr mapId="7" xpath="/Pisemnost/DPFDP6/VetaV/@kc_zd10p" xmlDataType="decimal"/>
    </xmlCellPr>
  </singleXmlCell>
  <singleXmlCell id="227" xr6:uid="{15E3E7BF-8788-480B-81A9-3943892581CD}" r="J71" connectionId="0">
    <xmlCellPr id="1" xr6:uid="{CB1EE10D-BDD8-444B-AC90-8A46DE6DDB10}" uniqueName="kc_zd9p">
      <xmlPr mapId="7" xpath="/Pisemnost/DPFDP6/VetaV/@kc_zd9p" xmlDataType="decimal"/>
    </xmlCellPr>
  </singleXmlCell>
  <singleXmlCell id="228" xr6:uid="{94817316-842F-42D7-9EE7-BE0EC973018C}" r="J67" connectionId="0">
    <xmlCellPr id="1" xr6:uid="{BCBE52E9-DB94-4139-8569-72D3B4E88923}" uniqueName="kc_snizukon9">
      <xmlPr mapId="7" xpath="/Pisemnost/DPFDP6/VetaV/@kc_snizukon9" xmlDataType="decimal"/>
    </xmlCellPr>
  </singleXmlCell>
  <singleXmlCell id="229" xr6:uid="{10B9C6EF-8A31-4860-941E-60655D4164E6}" r="J72" connectionId="0">
    <xmlCellPr id="1" xr6:uid="{31716D71-CAF0-4160-BA3F-E27DBAF07A59}" uniqueName="kc_zvysukon9">
      <xmlPr mapId="7" xpath="/Pisemnost/DPFDP6/VetaV/@kc_zvysukon9" xmlDataType="decimal"/>
    </xmlCellPr>
  </singleXmlCell>
  <singleXmlCell id="230" xr6:uid="{019C7C5D-6BEE-4797-84D3-7AB80E3A8E02}" r="J73" connectionId="0">
    <xmlCellPr id="1" xr6:uid="{62798194-0D39-44A6-AFEF-1C86D1DFA056}" uniqueName="spol_jm_manz">
      <xmlPr mapId="7" xpath="/Pisemnost/DPFDP6/VetaV/@spol_jm_manz" xmlDataType="string"/>
    </xmlCellPr>
  </singleXmlCell>
  <singleXmlCell id="231" xr6:uid="{90C5BEE0-F7CB-4606-A129-DA30AA5FCB3D}" r="J74" connectionId="0">
    <xmlCellPr id="1" xr6:uid="{3F280E6E-545E-48E5-B7D2-3B2B4B68B998}" uniqueName="uhrn_prijmy10">
      <xmlPr mapId="7" xpath="/Pisemnost/DPFDP6/VetaV/@uhrn_prijmy10" xmlDataType="decimal"/>
    </xmlCellPr>
  </singleXmlCell>
  <singleXmlCell id="232" xr6:uid="{51F11817-DAE6-474D-98C5-114CBA3E5187}" r="J75" connectionId="0">
    <xmlCellPr id="1" xr6:uid="{AC529F7E-2A59-4F67-8C57-4F15FB72B1CD}" uniqueName="uhrn_rozdil10">
      <xmlPr mapId="7" xpath="/Pisemnost/DPFDP6/VetaV/@uhrn_rozdil10" xmlDataType="decimal"/>
    </xmlCellPr>
  </singleXmlCell>
  <singleXmlCell id="233" xr6:uid="{09333788-161D-4BBD-8EBF-28331BD059A9}" r="J76" connectionId="0">
    <xmlCellPr id="1" xr6:uid="{EDD6E760-2463-497A-B788-5EAC4F1C8197}" uniqueName="uhrn_vydaje10">
      <xmlPr mapId="7" xpath="/Pisemnost/DPFDP6/VetaV/@uhrn_vydaje10" xmlDataType="decimal"/>
    </xmlCellPr>
  </singleXmlCell>
  <singleXmlCell id="234" xr6:uid="{67E609E9-658D-4D81-A0AE-DE62781136AC}" r="J77" connectionId="0">
    <xmlCellPr id="1" xr6:uid="{9C03BDED-A555-4CB0-9A09-262C2E4664AD}" uniqueName="vyd9proc">
      <xmlPr mapId="7" xpath="/Pisemnost/DPFDP6/VetaV/@vyd9proc" xmlDataType="string"/>
    </xmlCellPr>
  </singleXmlCell>
  <singleXmlCell id="235" xr6:uid="{EE7698BD-365D-4C99-B556-67D47333ED5A}" r="N71" connectionId="0">
    <xmlCellPr id="1" xr6:uid="{691EE3FA-6AC0-4303-A889-10387D991D2B}" uniqueName="da_zazahr">
      <xmlPr mapId="7" xpath="/Pisemnost/DPFDP6/VetaW/@da_zazahr" xmlDataType="decimal"/>
    </xmlCellPr>
  </singleXmlCell>
  <singleXmlCell id="236" xr6:uid="{D79C1717-C414-4D21-AA5B-2850D2CA4C62}" r="N72" connectionId="0">
    <xmlCellPr id="1" xr6:uid="{D58A8C8E-BE7B-4328-B7C2-73D1F219DD51}" uniqueName="uhrn_neuzndan">
      <xmlPr mapId="7" xpath="/Pisemnost/DPFDP6/VetaW/@uhrn_neuzndan" xmlDataType="decimal"/>
    </xmlCellPr>
  </singleXmlCell>
  <singleXmlCell id="237" xr6:uid="{CC805055-60E8-42F5-A6F7-AFB3CD199174}" r="N73" connectionId="0">
    <xmlCellPr id="1" xr6:uid="{F4A6DD46-4B26-4DAA-9976-039DBF3EA6CB}" uniqueName="uhrn_uzndan">
      <xmlPr mapId="7" xpath="/Pisemnost/DPFDP6/VetaW/@uhrn_uzndan" xmlDataType="decimal"/>
    </xmlCellPr>
  </singleXmlCell>
  <singleXmlCell id="244" xr6:uid="{4750B0DC-BE5A-429A-B361-C08B0162178B}" r="N74" connectionId="0">
    <xmlCellPr id="1" xr6:uid="{FDAE2D67-C599-4B15-A073-D3E7D6B32EBC}" uniqueName="kc_vynprij">
      <xmlPr mapId="7" xpath="/Pisemnost/DPFDP6/VetaW/@kc_vynprij" xmlDataType="decimal"/>
    </xmlCellPr>
  </singleXmlCell>
  <singleXmlCell id="245" xr6:uid="{915DF7E8-0D28-4DCC-8293-5DACDD76F609}" r="N75" connectionId="0">
    <xmlCellPr id="1" xr6:uid="{EFA2F3D3-61FD-4000-991A-62BFC15EB2BD}" uniqueName="kc_vynprij_6">
      <xmlPr mapId="7" xpath="/Pisemnost/DPFDP6/VetaW/@kc_vynprij_6" xmlDataType="decimal"/>
    </xmlCellPr>
  </singleXmlCell>
  <singleXmlCell id="246" xr6:uid="{6A2EEA77-F563-4126-9E4C-46D0452E688F}" r="N76" connectionId="0">
    <xmlCellPr id="1" xr6:uid="{B3C27856-0885-4199-AFC5-89E7ADDC4051}" uniqueName="roz_od10">
      <xmlPr mapId="7" xpath="/Pisemnost/DPFDP6/VetaW/@roz_od10" xmlDataType="decimal"/>
    </xmlCellPr>
  </singleXmlCell>
  <singleXmlCell id="247" xr6:uid="{2B0D3330-E381-43BB-9E2A-33FAD5384487}" r="N77" connectionId="0">
    <xmlCellPr id="1" xr6:uid="{E725E2F3-1B6C-47AD-90F5-DA27AC0C8335}" uniqueName="kc_zakztr">
      <xmlPr mapId="7" xpath="/Pisemnost/DPFDP6/VetaW/@kc_zakztr" xmlDataType="decimal"/>
    </xmlCellPr>
  </singleXmlCell>
  <singleXmlCell id="248" xr6:uid="{D58534AA-B39C-4590-9B6C-293385A702EF}" r="N78" connectionId="0">
    <xmlCellPr id="1" xr6:uid="{2741A2F4-D5CE-4A95-82D3-1E4A4DCD2C0D}" uniqueName="proc_od10">
      <xmlPr mapId="7" xpath="/Pisemnost/DPFDP6/VetaW/@proc_od10" xmlDataType="decimal"/>
    </xmlCellPr>
  </singleXmlCell>
  <singleXmlCell id="249" xr6:uid="{BE7BCE0E-3CA9-4BC4-A9B3-F5E965668524}" r="N79" connectionId="0">
    <xmlCellPr id="1" xr6:uid="{CC30B286-A79F-4E29-B63E-E850521D178A}" uniqueName="da_vzahod9">
      <xmlPr mapId="7" xpath="/Pisemnost/DPFDP6/VetaW/@da_vzahod9" xmlDataType="decimal"/>
    </xmlCellPr>
  </singleXmlCell>
  <singleXmlCell id="250" xr6:uid="{EA32A523-FBA4-45E5-93EB-AA065FD79FA8}" r="B89" connectionId="0">
    <xmlCellPr id="1" xr6:uid="{8C33DC23-A18A-431D-8BA3-D1ECAFEC7B65}" uniqueName="c_nest_uctu">
      <xmlPr mapId="7" xpath="/Pisemnost/DPFDP6/VetaN/@c_nest_uctu" xmlDataType="string"/>
    </xmlCellPr>
  </singleXmlCell>
  <singleXmlCell id="251" xr6:uid="{E98DD579-3A3A-4539-B533-51701D9C8145}" r="B90" connectionId="0">
    <xmlCellPr id="1" xr6:uid="{EDBE1164-0622-47F1-B9F8-18493130F71E}" uniqueName="id_banky">
      <xmlPr mapId="7" xpath="/Pisemnost/DPFDP6/VetaN/@id_banky" xmlDataType="string"/>
    </xmlCellPr>
  </singleXmlCell>
  <singleXmlCell id="252" xr6:uid="{42FD6CE1-732A-47C2-ABA9-22A03E2A38F9}" r="B91" connectionId="0">
    <xmlCellPr id="1" xr6:uid="{67C47155-6021-49B4-8692-A25F2BA9FCF0}" uniqueName="k_meny_uctu">
      <xmlPr mapId="7" xpath="/Pisemnost/DPFDP6/VetaN/@k_meny_uctu" xmlDataType="string"/>
    </xmlCellPr>
  </singleXmlCell>
  <singleXmlCell id="253" xr6:uid="{304ADD82-E267-42F7-AAA6-07F7AB5DA3E3}" r="B92" connectionId="0">
    <xmlCellPr id="1" xr6:uid="{1886720D-4510-46DC-B2FA-130F33E3F7C2}" uniqueName="k_stat_banky">
      <xmlPr mapId="7" xpath="/Pisemnost/DPFDP6/VetaN/@k_stat_banky" xmlDataType="string"/>
    </xmlCellPr>
  </singleXmlCell>
  <singleXmlCell id="254" xr6:uid="{77345E33-045C-4484-ABE1-38186E86F19F}" r="B93" connectionId="0">
    <xmlCellPr id="1" xr6:uid="{10810A81-37CF-4924-AE68-3C7C931DEF14}" uniqueName="kc_preplatek">
      <xmlPr mapId="7" xpath="/Pisemnost/DPFDP6/VetaN/@kc_preplatek" xmlDataType="decimal"/>
    </xmlCellPr>
  </singleXmlCell>
  <singleXmlCell id="255" xr6:uid="{319F9A22-FE7B-43FE-B025-BF3A59105C05}" r="B94" connectionId="0">
    <xmlCellPr id="1" xr6:uid="{3D3D3437-E260-428E-988F-BF87B6126775}" uniqueName="mesto_banky">
      <xmlPr mapId="7" xpath="/Pisemnost/DPFDP6/VetaN/@mesto_banky" xmlDataType="string"/>
    </xmlCellPr>
  </singleXmlCell>
  <singleXmlCell id="256" xr6:uid="{41BFB59F-4916-41E7-A7CD-596B56DCE7D0}" r="B95" connectionId="0">
    <xmlCellPr id="1" xr6:uid="{AD7489DC-4F43-4CB8-AD75-F2D0ADA339B3}" uniqueName="mesto_prij">
      <xmlPr mapId="7" xpath="/Pisemnost/DPFDP6/VetaN/@mesto_prij" xmlDataType="string"/>
    </xmlCellPr>
  </singleXmlCell>
  <singleXmlCell id="257" xr6:uid="{7CAE7FDE-0118-482A-BBC2-3307753FE73E}" r="B96" connectionId="0">
    <xmlCellPr id="1" xr6:uid="{302672F5-22EE-49BD-BF67-54ACCDF6A2F9}" uniqueName="naz_adr_banky">
      <xmlPr mapId="7" xpath="/Pisemnost/DPFDP6/VetaN/@naz_adr_banky" xmlDataType="string"/>
    </xmlCellPr>
  </singleXmlCell>
  <singleXmlCell id="258" xr6:uid="{A9C242FC-3B8E-4317-A1B0-565647882004}" r="B97" connectionId="0">
    <xmlCellPr id="1" xr6:uid="{B86586B9-0518-47D2-8921-CA109C4E3FAA}" uniqueName="nazev_prij">
      <xmlPr mapId="7" xpath="/Pisemnost/DPFDP6/VetaN/@nazev_prij" xmlDataType="string"/>
    </xmlCellPr>
  </singleXmlCell>
  <singleXmlCell id="259" xr6:uid="{FDF0E81C-F7CC-4710-B1CF-18C4DE56967A}" r="B98" connectionId="0">
    <xmlCellPr id="1" xr6:uid="{19163933-66BC-4854-9899-EEE31C75E2E1}" uniqueName="psc_banky">
      <xmlPr mapId="7" xpath="/Pisemnost/DPFDP6/VetaN/@psc_banky" xmlDataType="string"/>
    </xmlCellPr>
  </singleXmlCell>
  <singleXmlCell id="260" xr6:uid="{DFFC33AD-47AE-4BA9-832C-947A202DD640}" r="B99" connectionId="0">
    <xmlCellPr id="1" xr6:uid="{41343CBD-A581-40F8-B708-B32AE321A732}" uniqueName="psc_prij">
      <xmlPr mapId="7" xpath="/Pisemnost/DPFDP6/VetaN/@psc_prij" xmlDataType="string"/>
    </xmlCellPr>
  </singleXmlCell>
  <singleXmlCell id="261" xr6:uid="{6356FBAC-C56B-4378-929A-1C204C5CB8E5}" r="B100" connectionId="0">
    <xmlCellPr id="1" xr6:uid="{75DA1552-26DF-42E2-BD4C-7EE73797F305}" uniqueName="region_banky">
      <xmlPr mapId="7" xpath="/Pisemnost/DPFDP6/VetaN/@region_banky" xmlDataType="string"/>
    </xmlCellPr>
  </singleXmlCell>
  <singleXmlCell id="262" xr6:uid="{47820CA2-3881-4469-A7B0-EF7E88949284}" r="B101" connectionId="0">
    <xmlCellPr id="1" xr6:uid="{72AC17E9-88CF-4766-A2C3-F5DACEFE3ECE}" uniqueName="region_prij">
      <xmlPr mapId="7" xpath="/Pisemnost/DPFDP6/VetaN/@region_prij" xmlDataType="string"/>
    </xmlCellPr>
  </singleXmlCell>
  <singleXmlCell id="264" xr6:uid="{5F2CD911-4FEE-45AE-BAF2-E8352BE406F2}" r="B102" connectionId="0">
    <xmlCellPr id="1" xr6:uid="{E2ED9036-D068-413D-9806-5DB69C9AFC3C}" uniqueName="stat_prij">
      <xmlPr mapId="7" xpath="/Pisemnost/DPFDP6/VetaN/@stat_prij" xmlDataType="string"/>
    </xmlCellPr>
  </singleXmlCell>
  <singleXmlCell id="265" xr6:uid="{0E7A07C8-1ABA-4AF7-81E2-C3E4E9DAC5A7}" r="B103" connectionId="0">
    <xmlCellPr id="1" xr6:uid="{79011362-5618-4FC0-BA35-DC943C97A3BC}" uniqueName="sym_plvmpv">
      <xmlPr mapId="7" xpath="/Pisemnost/DPFDP6/VetaN/@sym_plvmpv" xmlDataType="string"/>
    </xmlCellPr>
  </singleXmlCell>
  <singleXmlCell id="266" xr6:uid="{A8867C67-5850-4ABE-AC3B-284AC040835A}" r="B104" connectionId="0">
    <xmlCellPr id="1" xr6:uid="{69C771F1-C44F-444B-8205-24098650C6A3}" uniqueName="ulice_banky">
      <xmlPr mapId="7" xpath="/Pisemnost/DPFDP6/VetaN/@ulice_banky" xmlDataType="string"/>
    </xmlCellPr>
  </singleXmlCell>
  <singleXmlCell id="267" xr6:uid="{7F1C3BA9-A0D5-41E4-B368-E50E307F1577}" r="B105" connectionId="0">
    <xmlCellPr id="1" xr6:uid="{5140CA6B-826B-45E2-AA3C-2FE1816A0023}" uniqueName="ulice_prij">
      <xmlPr mapId="7" xpath="/Pisemnost/DPFDP6/VetaN/@ulice_prij" xmlDataType="string"/>
    </xmlCellPr>
  </singleXmlCell>
  <singleXmlCell id="268" xr6:uid="{DD21F64E-5778-4586-AF74-C43F4AD8AE69}" r="B106" connectionId="0">
    <xmlCellPr id="1" xr6:uid="{1AB08FDB-4F99-437C-9A33-03303C051ED7}" uniqueName="zp_vrac">
      <xmlPr mapId="7" xpath="/Pisemnost/DPFDP6/VetaN/@zp_vrac" xmlDataType="string"/>
    </xmlCellPr>
  </singleXmlCell>
  <singleXmlCell id="269" xr6:uid="{FAE01524-BAED-4ECE-BCEB-0455DFB2FBC3}" r="B107" connectionId="0">
    <xmlCellPr id="1" xr6:uid="{348E7B11-49CD-4663-BF85-185535C1A6AD}" uniqueName="zvp_c_komds">
      <xmlPr mapId="7" xpath="/Pisemnost/DPFDP6/VetaN/@zvp_c_komds" xmlDataType="string"/>
    </xmlCellPr>
  </singleXmlCell>
  <singleXmlCell id="271" xr6:uid="{9BF5E4A0-169A-4043-B952-3FAD66B228DE}" r="B108" connectionId="0">
    <xmlCellPr id="1" xr6:uid="{CE19F3E9-0653-478F-AD8B-6004C3BC28FD}" uniqueName="zvp_c_obce">
      <xmlPr mapId="7" xpath="/Pisemnost/DPFDP6/VetaN/@zvp_c_obce" xmlDataType="decimal"/>
    </xmlCellPr>
  </singleXmlCell>
  <singleXmlCell id="274" xr6:uid="{0793E878-FA25-4BE8-8800-CC0E7570793E}" r="B109" connectionId="0">
    <xmlCellPr id="1" xr6:uid="{ACBDF4BF-DB36-45EA-BEEC-E180448616EB}" uniqueName="zvp_c_orient">
      <xmlPr mapId="7" xpath="/Pisemnost/DPFDP6/VetaN/@zvp_c_orient" xmlDataType="string"/>
    </xmlCellPr>
  </singleXmlCell>
  <singleXmlCell id="275" xr6:uid="{D88B6B14-7D57-4FA3-8E7C-35981D269BB2}" r="B110" connectionId="0">
    <xmlCellPr id="1" xr6:uid="{A2CC03FF-3C89-491C-9F42-F8CF979A1BE1}" uniqueName="zvp_c_pop">
      <xmlPr mapId="7" xpath="/Pisemnost/DPFDP6/VetaN/@zvp_c_pop" xmlDataType="decimal"/>
    </xmlCellPr>
  </singleXmlCell>
  <singleXmlCell id="276" xr6:uid="{0AEC2039-57C2-449C-B01A-57B0C23BD93C}" r="B111" connectionId="0">
    <xmlCellPr id="1" xr6:uid="{F3C61513-394E-4C08-AA3D-843359007CFC}" uniqueName="zvp_jmeno">
      <xmlPr mapId="7" xpath="/Pisemnost/DPFDP6/VetaN/@zvp_jmeno" xmlDataType="string"/>
    </xmlCellPr>
  </singleXmlCell>
  <singleXmlCell id="277" xr6:uid="{D9065AB4-3419-4BEA-90D8-2761F8B824FD}" r="B112" connectionId="0">
    <xmlCellPr id="1" xr6:uid="{E2171FC0-CA05-4FE7-98AC-2F4D429F74E3}" uniqueName="zvp_k_bank">
      <xmlPr mapId="7" xpath="/Pisemnost/DPFDP6/VetaN/@zvp_k_bank" xmlDataType="decimal"/>
    </xmlCellPr>
  </singleXmlCell>
  <singleXmlCell id="278" xr6:uid="{C063ADA7-5ADF-4690-952B-054F1779AED3}" r="B113" connectionId="0">
    <xmlCellPr id="1" xr6:uid="{73E2086A-040F-4BA5-9113-F76B201BD4CB}" uniqueName="zvp_naz_bank">
      <xmlPr mapId="7" xpath="/Pisemnost/DPFDP6/VetaN/@zvp_naz_bank" xmlDataType="string"/>
    </xmlCellPr>
  </singleXmlCell>
  <singleXmlCell id="279" xr6:uid="{C3097D91-5F20-41E4-97F5-618F9E17DB01}" r="B114" connectionId="0">
    <xmlCellPr id="1" xr6:uid="{6CAFED86-DB03-4CE7-A848-94C54D45574C}" uniqueName="zvp_naz_obce">
      <xmlPr mapId="7" xpath="/Pisemnost/DPFDP6/VetaN/@zvp_naz_obce" xmlDataType="string"/>
    </xmlCellPr>
  </singleXmlCell>
  <singleXmlCell id="280" xr6:uid="{26563C2C-161E-4838-B919-5570C9C7902A}" r="B115" connectionId="0">
    <xmlCellPr id="1" xr6:uid="{E9CF703E-36BF-4F3A-A63F-D990C070ADE3}" uniqueName="zvp_pbu">
      <xmlPr mapId="7" xpath="/Pisemnost/DPFDP6/VetaN/@zvp_pbu" xmlDataType="decimal"/>
    </xmlCellPr>
  </singleXmlCell>
  <singleXmlCell id="281" xr6:uid="{DD7A1365-1E24-4FB0-8E79-7B944FDAA553}" r="B116" connectionId="0">
    <xmlCellPr id="1" xr6:uid="{9A998F23-BA07-4EA7-BA4D-1E0D03FA5142}" uniqueName="zvp_prijmeni">
      <xmlPr mapId="7" xpath="/Pisemnost/DPFDP6/VetaN/@zvp_prijmeni" xmlDataType="string"/>
    </xmlCellPr>
  </singleXmlCell>
  <singleXmlCell id="282" xr6:uid="{488FB3D6-CF1A-466B-A247-AD17D0003994}" r="B117" connectionId="0">
    <xmlCellPr id="1" xr6:uid="{D151B106-CC3F-4589-8449-B5D952F49D37}" uniqueName="zvp_psc">
      <xmlPr mapId="7" xpath="/Pisemnost/DPFDP6/VetaN/@zvp_psc" xmlDataType="decimal"/>
    </xmlCellPr>
  </singleXmlCell>
  <singleXmlCell id="283" xr6:uid="{94497AE4-41C2-44F6-AE2A-BAC8AD520F7E}" r="B118" connectionId="0">
    <xmlCellPr id="1" xr6:uid="{E20D9D93-FA4F-4359-A242-DADF577C5304}" uniqueName="zvp_spec_symb">
      <xmlPr mapId="7" xpath="/Pisemnost/DPFDP6/VetaN/@zvp_spec_symb" xmlDataType="string"/>
    </xmlCellPr>
  </singleXmlCell>
  <singleXmlCell id="284" xr6:uid="{58D2F5F6-0E4A-465C-A2D7-09750AC510D4}" r="B119" connectionId="0">
    <xmlCellPr id="1" xr6:uid="{30563767-F0BC-4A3E-9D62-50E631B18499}" uniqueName="zvp_titul">
      <xmlPr mapId="7" xpath="/Pisemnost/DPFDP6/VetaN/@zvp_titul" xmlDataType="string"/>
    </xmlCellPr>
  </singleXmlCell>
  <singleXmlCell id="285" xr6:uid="{D6787556-01C8-44E6-A30F-97700E48FE1F}" r="B120" connectionId="0">
    <xmlCellPr id="1" xr6:uid="{3E9D88EE-6E37-4E7F-A605-152C174F4E56}" uniqueName="zvp_ulice">
      <xmlPr mapId="7" xpath="/Pisemnost/DPFDP6/VetaN/@zvp_ulice" xmlDataType="string"/>
    </xmlCellPr>
  </singleXmlCell>
  <singleXmlCell id="5" xr6:uid="{3C3AFDF6-5F1B-4F59-B5EF-DF1E1B9CB5EA}" r="N56" connectionId="0">
    <xmlCellPr id="1" xr6:uid="{1458A0D9-8705-4424-9631-8ADE0D8BAFD8}" uniqueName="pr_vyd7">
      <xmlPr mapId="7" xpath="/Pisemnost/DPFDP6/VetaT/@pr_vyd7" xmlDataType="decimal"/>
    </xmlCellPr>
  </singleXmlCell>
  <singleXmlCell id="20" xr6:uid="{605178BC-2122-490C-BD50-C0D97E2C771F}" r="N48" connectionId="0">
    <xmlCellPr id="1" xr6:uid="{34861D44-C9B7-41B2-B176-11B937CFCED8}" uniqueName="kc_vyd7">
      <xmlPr mapId="7" xpath="/Pisemnost/DPFDP6/VetaT/@kc_vyd7"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tableSingleCells" Target="../tables/tableSingleCells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28.bin"/><Relationship Id="rId4"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isspr.mfcr.cz/pmd/epo/formulare?nacteni=1" TargetMode="External"/><Relationship Id="rId1" Type="http://schemas.openxmlformats.org/officeDocument/2006/relationships/hyperlink" Target="http://business.center.cz/business/sablony/s110-ucetni-zaverka-v-plnem-rozsahu.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selection activeCell="Z994" sqref="Z994"/>
    </sheetView>
  </sheetViews>
  <sheetFormatPr defaultRowHeight="12.75"/>
  <cols>
    <col min="2" max="2" width="27.42578125" customWidth="1"/>
    <col min="5" max="5" width="22.28515625" customWidth="1"/>
    <col min="8" max="8" width="26.140625" customWidth="1"/>
    <col min="10" max="10" width="37.28515625" customWidth="1"/>
    <col min="14" max="14" width="44.85546875" customWidth="1"/>
  </cols>
  <sheetData>
    <row r="1" spans="1:26" ht="13.5" thickBot="1">
      <c r="A1" s="301"/>
      <c r="B1" s="301"/>
      <c r="C1" s="301"/>
      <c r="D1" s="302"/>
      <c r="E1" s="301"/>
      <c r="F1" s="301"/>
      <c r="G1" s="301"/>
      <c r="H1" s="301"/>
      <c r="I1" s="301"/>
      <c r="O1" s="303"/>
    </row>
    <row r="2" spans="1:26" ht="12.75" customHeight="1" thickBot="1">
      <c r="A2" s="301"/>
      <c r="B2" s="304" t="s">
        <v>733</v>
      </c>
      <c r="C2" s="305"/>
      <c r="D2" s="306"/>
      <c r="E2" s="307" t="s">
        <v>734</v>
      </c>
      <c r="F2" s="308"/>
      <c r="G2" s="307">
        <f>COUNTIF(H3:H210,"?*")</f>
        <v>202</v>
      </c>
      <c r="H2" s="309"/>
      <c r="I2" s="301"/>
      <c r="J2" s="310" t="s">
        <v>735</v>
      </c>
      <c r="M2" s="311" t="s">
        <v>736</v>
      </c>
      <c r="N2" s="312" t="s">
        <v>737</v>
      </c>
      <c r="O2" s="313" t="s">
        <v>738</v>
      </c>
      <c r="P2" s="314"/>
      <c r="Q2" s="310"/>
    </row>
    <row r="3" spans="1:26" ht="12.75" customHeight="1">
      <c r="A3" s="301"/>
      <c r="B3" s="315" t="s">
        <v>739</v>
      </c>
      <c r="C3" s="316">
        <v>451</v>
      </c>
      <c r="D3" s="317">
        <f>IF(ISNUMBER(SEARCH(ZAKL_DATA!$B$14,E3)),MAX($D$2:D2)+1,0)</f>
        <v>1</v>
      </c>
      <c r="E3" s="318" t="s">
        <v>740</v>
      </c>
      <c r="F3" s="319">
        <v>2001</v>
      </c>
      <c r="G3" s="320"/>
      <c r="H3" s="321" t="str">
        <f>IFERROR(VLOOKUP(ROWS($H$3:H3),$D$3:$E$204,2,0),"")</f>
        <v>PRAHA 1</v>
      </c>
      <c r="I3" s="301"/>
      <c r="J3" s="322" t="s">
        <v>741</v>
      </c>
      <c r="K3" s="323" t="s">
        <v>167</v>
      </c>
      <c r="M3" s="324">
        <f>IF(ISNUMBER(SEARCH(ZAKL_DATA!$B$29,N3)),MAX($M$2:M2)+1,0)</f>
        <v>1</v>
      </c>
      <c r="N3" s="325" t="s">
        <v>742</v>
      </c>
      <c r="O3" s="326" t="s">
        <v>743</v>
      </c>
      <c r="Q3" s="327" t="str">
        <f>IFERROR(VLOOKUP(ROWS($Q$3:Q3),$M$3:$N$992,2,0),"")</f>
        <v>Rostlinná a živočišná výroba, myslivost a související činnosti</v>
      </c>
      <c r="R3">
        <f>IF(ISNUMBER(SEARCH('1Př1'!$A$32,N3)),MAX($M$2:M2)+1,0)</f>
        <v>1</v>
      </c>
      <c r="S3" s="325" t="s">
        <v>742</v>
      </c>
      <c r="T3" t="str">
        <f>IFERROR(VLOOKUP(ROWS($T$3:T3),$R$3:$S$992,2,0),"")</f>
        <v>Rostlinná a živočišná výroba, myslivost a související činnosti</v>
      </c>
      <c r="U3">
        <f>IF(ISNUMBER(SEARCH('1Př1'!$A$33,N3)),MAX($M$2:M2)+1,0)</f>
        <v>1</v>
      </c>
      <c r="V3" s="325" t="s">
        <v>742</v>
      </c>
      <c r="W3" t="str">
        <f>IFERROR(VLOOKUP(ROWS($W$3:W3),$U$3:$V$992,2,0),"")</f>
        <v>Rostlinná a živočišná výroba, myslivost a související činnosti</v>
      </c>
      <c r="X3">
        <f>IF(ISNUMBER(SEARCH('1Př1'!$A$34,N3)),MAX($M$2:M2)+1,0)</f>
        <v>1</v>
      </c>
      <c r="Y3" s="325" t="s">
        <v>742</v>
      </c>
      <c r="Z3" t="str">
        <f>IFERROR(VLOOKUP(ROWS($Z$3:Z3),$X$3:$Y$992,2,0),"")</f>
        <v>Rostlinná a živočišná výroba, myslivost a související činnosti</v>
      </c>
    </row>
    <row r="4" spans="1:26" ht="12.75" customHeight="1">
      <c r="A4" s="301"/>
      <c r="B4" s="328" t="s">
        <v>744</v>
      </c>
      <c r="C4" s="329">
        <v>452</v>
      </c>
      <c r="D4" s="317">
        <f>IF(ISNUMBER(SEARCH(ZAKL_DATA!$B$14,E4)),MAX($D$2:D3)+1,0)</f>
        <v>2</v>
      </c>
      <c r="E4" s="330" t="s">
        <v>745</v>
      </c>
      <c r="F4" s="331">
        <v>2002</v>
      </c>
      <c r="G4" s="332"/>
      <c r="H4" s="333" t="str">
        <f>IFERROR(VLOOKUP(ROWS($H$3:H4),$D$3:$E$204,2,0),"")</f>
        <v>PRAHA 2</v>
      </c>
      <c r="I4" s="301"/>
      <c r="J4" s="334" t="s">
        <v>746</v>
      </c>
      <c r="K4" s="323" t="s">
        <v>747</v>
      </c>
      <c r="M4" s="324">
        <f>IF(ISNUMBER(SEARCH(ZAKL_DATA!$B$29,N4)),MAX($M$2:M3)+1,0)</f>
        <v>2</v>
      </c>
      <c r="N4" s="325" t="s">
        <v>748</v>
      </c>
      <c r="O4" s="326" t="s">
        <v>749</v>
      </c>
      <c r="Q4" s="327" t="str">
        <f>IFERROR(VLOOKUP(ROWS($Q$3:Q4),$M$3:$N$992,2,0),"")</f>
        <v>Lesnictví a těžba dřeva</v>
      </c>
      <c r="R4">
        <f>IF(ISNUMBER(SEARCH('1Př1'!$A$32,N4)),MAX($M$2:M3)+1,0)</f>
        <v>2</v>
      </c>
      <c r="S4" s="325" t="s">
        <v>748</v>
      </c>
      <c r="T4" t="str">
        <f>IFERROR(VLOOKUP(ROWS($T$3:T4),$R$3:$S$992,2,0),"")</f>
        <v>Lesnictví a těžba dřeva</v>
      </c>
      <c r="U4">
        <f>IF(ISNUMBER(SEARCH('1Př1'!$A$33,N4)),MAX($M$2:M3)+1,0)</f>
        <v>2</v>
      </c>
      <c r="V4" s="325" t="s">
        <v>748</v>
      </c>
      <c r="W4" t="str">
        <f>IFERROR(VLOOKUP(ROWS($W$3:W4),$U$3:$V$992,2,0),"")</f>
        <v>Lesnictví a těžba dřeva</v>
      </c>
      <c r="X4">
        <f>IF(ISNUMBER(SEARCH('1Př1'!$A$34,N4)),MAX($M$2:M3)+1,0)</f>
        <v>2</v>
      </c>
      <c r="Y4" s="325" t="s">
        <v>748</v>
      </c>
      <c r="Z4" t="str">
        <f>IFERROR(VLOOKUP(ROWS($Z$3:Z4),$X$3:$Y$992,2,0),"")</f>
        <v>Lesnictví a těžba dřeva</v>
      </c>
    </row>
    <row r="5" spans="1:26" ht="12.75" customHeight="1">
      <c r="A5" s="301"/>
      <c r="B5" s="328" t="s">
        <v>750</v>
      </c>
      <c r="C5" s="329">
        <v>453</v>
      </c>
      <c r="D5" s="317">
        <f>IF(ISNUMBER(SEARCH(ZAKL_DATA!$B$14,E5)),MAX($D$2:D4)+1,0)</f>
        <v>3</v>
      </c>
      <c r="E5" s="330" t="s">
        <v>751</v>
      </c>
      <c r="F5" s="331">
        <v>2003</v>
      </c>
      <c r="G5" s="332"/>
      <c r="H5" s="333" t="str">
        <f>IFERROR(VLOOKUP(ROWS($H$3:H5),$D$3:$E$204,2,0),"")</f>
        <v>PRAHA 3</v>
      </c>
      <c r="I5" s="301"/>
      <c r="J5" s="334" t="s">
        <v>752</v>
      </c>
      <c r="K5" s="323" t="s">
        <v>753</v>
      </c>
      <c r="M5" s="324">
        <f>IF(ISNUMBER(SEARCH(ZAKL_DATA!$B$29,N5)),MAX($M$2:M4)+1,0)</f>
        <v>3</v>
      </c>
      <c r="N5" s="325" t="s">
        <v>754</v>
      </c>
      <c r="O5" s="326" t="s">
        <v>755</v>
      </c>
      <c r="Q5" s="327" t="str">
        <f>IFERROR(VLOOKUP(ROWS($Q$3:Q5),$M$3:$N$992,2,0),"")</f>
        <v>Rybolov a akvakultura</v>
      </c>
      <c r="R5">
        <f>IF(ISNUMBER(SEARCH('1Př1'!$A$32,N5)),MAX($M$2:M4)+1,0)</f>
        <v>3</v>
      </c>
      <c r="S5" s="325" t="s">
        <v>754</v>
      </c>
      <c r="T5" t="str">
        <f>IFERROR(VLOOKUP(ROWS($T$3:T5),$R$3:$S$992,2,0),"")</f>
        <v>Rybolov a akvakultura</v>
      </c>
      <c r="U5">
        <f>IF(ISNUMBER(SEARCH('1Př1'!$A$33,N5)),MAX($M$2:M4)+1,0)</f>
        <v>3</v>
      </c>
      <c r="V5" s="325" t="s">
        <v>754</v>
      </c>
      <c r="W5" t="str">
        <f>IFERROR(VLOOKUP(ROWS($W$3:W5),$U$3:$V$992,2,0),"")</f>
        <v>Rybolov a akvakultura</v>
      </c>
      <c r="X5">
        <f>IF(ISNUMBER(SEARCH('1Př1'!$A$34,N5)),MAX($M$2:M4)+1,0)</f>
        <v>3</v>
      </c>
      <c r="Y5" s="325" t="s">
        <v>754</v>
      </c>
      <c r="Z5" t="str">
        <f>IFERROR(VLOOKUP(ROWS($Z$3:Z5),$X$3:$Y$992,2,0),"")</f>
        <v>Rybolov a akvakultura</v>
      </c>
    </row>
    <row r="6" spans="1:26" ht="12.75" customHeight="1">
      <c r="A6" s="301"/>
      <c r="B6" s="328" t="s">
        <v>756</v>
      </c>
      <c r="C6" s="329">
        <v>454</v>
      </c>
      <c r="D6" s="317">
        <f>IF(ISNUMBER(SEARCH(ZAKL_DATA!$B$14,E6)),MAX($D$2:D5)+1,0)</f>
        <v>4</v>
      </c>
      <c r="E6" s="330" t="s">
        <v>757</v>
      </c>
      <c r="F6" s="331">
        <v>2004</v>
      </c>
      <c r="G6" s="332"/>
      <c r="H6" s="333" t="str">
        <f>IFERROR(VLOOKUP(ROWS($H$3:H6),$D$3:$E$204,2,0),"")</f>
        <v>PRAHA 4</v>
      </c>
      <c r="I6" s="301"/>
      <c r="J6" s="335" t="s">
        <v>758</v>
      </c>
      <c r="K6" s="323" t="s">
        <v>759</v>
      </c>
      <c r="M6" s="324">
        <f>IF(ISNUMBER(SEARCH(ZAKL_DATA!$B$29,N6)),MAX($M$2:M5)+1,0)</f>
        <v>4</v>
      </c>
      <c r="N6" s="325" t="s">
        <v>760</v>
      </c>
      <c r="O6" s="326" t="s">
        <v>761</v>
      </c>
      <c r="Q6" s="327" t="str">
        <f>IFERROR(VLOOKUP(ROWS($Q$3:Q6),$M$3:$N$992,2,0),"")</f>
        <v>Těžba a úprava černého a hnědého uhlí</v>
      </c>
      <c r="R6">
        <f>IF(ISNUMBER(SEARCH('1Př1'!$A$32,N6)),MAX($M$2:M5)+1,0)</f>
        <v>4</v>
      </c>
      <c r="S6" s="325" t="s">
        <v>760</v>
      </c>
      <c r="T6" t="str">
        <f>IFERROR(VLOOKUP(ROWS($T$3:T6),$R$3:$S$992,2,0),"")</f>
        <v>Těžba a úprava černého a hnědého uhlí</v>
      </c>
      <c r="U6">
        <f>IF(ISNUMBER(SEARCH('1Př1'!$A$33,N6)),MAX($M$2:M5)+1,0)</f>
        <v>4</v>
      </c>
      <c r="V6" s="325" t="s">
        <v>760</v>
      </c>
      <c r="W6" t="str">
        <f>IFERROR(VLOOKUP(ROWS($W$3:W6),$U$3:$V$992,2,0),"")</f>
        <v>Těžba a úprava černého a hnědého uhlí</v>
      </c>
      <c r="X6">
        <f>IF(ISNUMBER(SEARCH('1Př1'!$A$34,N6)),MAX($M$2:M5)+1,0)</f>
        <v>4</v>
      </c>
      <c r="Y6" s="325" t="s">
        <v>760</v>
      </c>
      <c r="Z6" t="str">
        <f>IFERROR(VLOOKUP(ROWS($Z$3:Z6),$X$3:$Y$992,2,0),"")</f>
        <v>Těžba a úprava černého a hnědého uhlí</v>
      </c>
    </row>
    <row r="7" spans="1:26" ht="12.75" customHeight="1">
      <c r="A7" s="301"/>
      <c r="B7" s="328" t="s">
        <v>762</v>
      </c>
      <c r="C7" s="329">
        <v>455</v>
      </c>
      <c r="D7" s="317">
        <f>IF(ISNUMBER(SEARCH(ZAKL_DATA!$B$14,E7)),MAX($D$2:D6)+1,0)</f>
        <v>5</v>
      </c>
      <c r="E7" s="330" t="s">
        <v>763</v>
      </c>
      <c r="F7" s="331">
        <v>2005</v>
      </c>
      <c r="G7" s="332"/>
      <c r="H7" s="333" t="str">
        <f>IFERROR(VLOOKUP(ROWS($H$3:H7),$D$3:$E$204,2,0),"")</f>
        <v>PRAHA 5</v>
      </c>
      <c r="I7" s="301"/>
      <c r="J7" s="335" t="s">
        <v>764</v>
      </c>
      <c r="K7" s="323" t="s">
        <v>765</v>
      </c>
      <c r="M7" s="324">
        <f>IF(ISNUMBER(SEARCH(ZAKL_DATA!$B$29,N7)),MAX($M$2:M6)+1,0)</f>
        <v>5</v>
      </c>
      <c r="N7" s="325" t="s">
        <v>766</v>
      </c>
      <c r="O7" s="326" t="s">
        <v>767</v>
      </c>
      <c r="Q7" s="327" t="str">
        <f>IFERROR(VLOOKUP(ROWS($Q$3:Q7),$M$3:$N$992,2,0),"")</f>
        <v>Těžba ropy a zemního plynu</v>
      </c>
      <c r="R7">
        <f>IF(ISNUMBER(SEARCH('1Př1'!$A$32,N7)),MAX($M$2:M6)+1,0)</f>
        <v>5</v>
      </c>
      <c r="S7" s="325" t="s">
        <v>766</v>
      </c>
      <c r="T7" t="str">
        <f>IFERROR(VLOOKUP(ROWS($T$3:T7),$R$3:$S$992,2,0),"")</f>
        <v>Těžba ropy a zemního plynu</v>
      </c>
      <c r="U7">
        <f>IF(ISNUMBER(SEARCH('1Př1'!$A$33,N7)),MAX($M$2:M6)+1,0)</f>
        <v>5</v>
      </c>
      <c r="V7" s="325" t="s">
        <v>766</v>
      </c>
      <c r="W7" t="str">
        <f>IFERROR(VLOOKUP(ROWS($W$3:W7),$U$3:$V$992,2,0),"")</f>
        <v>Těžba ropy a zemního plynu</v>
      </c>
      <c r="X7">
        <f>IF(ISNUMBER(SEARCH('1Př1'!$A$34,N7)),MAX($M$2:M6)+1,0)</f>
        <v>5</v>
      </c>
      <c r="Y7" s="325" t="s">
        <v>766</v>
      </c>
      <c r="Z7" t="str">
        <f>IFERROR(VLOOKUP(ROWS($Z$3:Z7),$X$3:$Y$992,2,0),"")</f>
        <v>Těžba ropy a zemního plynu</v>
      </c>
    </row>
    <row r="8" spans="1:26" ht="12.75" customHeight="1">
      <c r="A8" s="301"/>
      <c r="B8" s="328" t="s">
        <v>768</v>
      </c>
      <c r="C8" s="329">
        <v>456</v>
      </c>
      <c r="D8" s="317">
        <f>IF(ISNUMBER(SEARCH(ZAKL_DATA!$B$14,E8)),MAX($D$2:D7)+1,0)</f>
        <v>6</v>
      </c>
      <c r="E8" s="330" t="s">
        <v>769</v>
      </c>
      <c r="F8" s="331">
        <v>2006</v>
      </c>
      <c r="G8" s="332"/>
      <c r="H8" s="333" t="str">
        <f>IFERROR(VLOOKUP(ROWS($H$3:H8),$D$3:$E$204,2,0),"")</f>
        <v>PRAHA 6</v>
      </c>
      <c r="I8" s="301"/>
      <c r="J8" s="335" t="s">
        <v>770</v>
      </c>
      <c r="K8" s="323" t="s">
        <v>771</v>
      </c>
      <c r="M8" s="324">
        <f>IF(ISNUMBER(SEARCH(ZAKL_DATA!$B$29,N8)),MAX($M$2:M7)+1,0)</f>
        <v>6</v>
      </c>
      <c r="N8" s="325" t="s">
        <v>772</v>
      </c>
      <c r="O8" s="326" t="s">
        <v>773</v>
      </c>
      <c r="Q8" s="327" t="str">
        <f>IFERROR(VLOOKUP(ROWS($Q$3:Q8),$M$3:$N$992,2,0),"")</f>
        <v>Těžba a úprava rud</v>
      </c>
      <c r="R8">
        <f>IF(ISNUMBER(SEARCH('1Př1'!$A$32,N8)),MAX($M$2:M7)+1,0)</f>
        <v>6</v>
      </c>
      <c r="S8" s="325" t="s">
        <v>772</v>
      </c>
      <c r="T8" t="str">
        <f>IFERROR(VLOOKUP(ROWS($T$3:T8),$R$3:$S$992,2,0),"")</f>
        <v>Těžba a úprava rud</v>
      </c>
      <c r="U8">
        <f>IF(ISNUMBER(SEARCH('1Př1'!$A$33,N8)),MAX($M$2:M7)+1,0)</f>
        <v>6</v>
      </c>
      <c r="V8" s="325" t="s">
        <v>772</v>
      </c>
      <c r="W8" t="str">
        <f>IFERROR(VLOOKUP(ROWS($W$3:W8),$U$3:$V$992,2,0),"")</f>
        <v>Těžba a úprava rud</v>
      </c>
      <c r="X8">
        <f>IF(ISNUMBER(SEARCH('1Př1'!$A$34,N8)),MAX($M$2:M7)+1,0)</f>
        <v>6</v>
      </c>
      <c r="Y8" s="325" t="s">
        <v>772</v>
      </c>
      <c r="Z8" t="str">
        <f>IFERROR(VLOOKUP(ROWS($Z$3:Z8),$X$3:$Y$992,2,0),"")</f>
        <v>Těžba a úprava rud</v>
      </c>
    </row>
    <row r="9" spans="1:26" ht="12.75" customHeight="1">
      <c r="A9" s="301"/>
      <c r="B9" s="328" t="s">
        <v>774</v>
      </c>
      <c r="C9" s="329">
        <v>457</v>
      </c>
      <c r="D9" s="317">
        <f>IF(ISNUMBER(SEARCH(ZAKL_DATA!$B$14,E9)),MAX($D$2:D8)+1,0)</f>
        <v>7</v>
      </c>
      <c r="E9" s="330" t="s">
        <v>775</v>
      </c>
      <c r="F9" s="331">
        <v>2007</v>
      </c>
      <c r="G9" s="332"/>
      <c r="H9" s="333" t="str">
        <f>IFERROR(VLOOKUP(ROWS($H$3:H9),$D$3:$E$204,2,0),"")</f>
        <v>PRAHA 7</v>
      </c>
      <c r="I9" s="301"/>
      <c r="J9" s="335" t="s">
        <v>776</v>
      </c>
      <c r="K9" s="323" t="s">
        <v>777</v>
      </c>
      <c r="M9" s="324">
        <f>IF(ISNUMBER(SEARCH(ZAKL_DATA!$B$29,N9)),MAX($M$2:M8)+1,0)</f>
        <v>7</v>
      </c>
      <c r="N9" s="325" t="s">
        <v>778</v>
      </c>
      <c r="O9" s="326" t="s">
        <v>779</v>
      </c>
      <c r="Q9" s="327" t="str">
        <f>IFERROR(VLOOKUP(ROWS($Q$3:Q9),$M$3:$N$992,2,0),"")</f>
        <v>Ostatní těžba a dobývání</v>
      </c>
      <c r="R9">
        <f>IF(ISNUMBER(SEARCH('1Př1'!$A$32,N9)),MAX($M$2:M8)+1,0)</f>
        <v>7</v>
      </c>
      <c r="S9" s="325" t="s">
        <v>778</v>
      </c>
      <c r="T9" t="str">
        <f>IFERROR(VLOOKUP(ROWS($T$3:T9),$R$3:$S$992,2,0),"")</f>
        <v>Ostatní těžba a dobývání</v>
      </c>
      <c r="U9">
        <f>IF(ISNUMBER(SEARCH('1Př1'!$A$33,N9)),MAX($M$2:M8)+1,0)</f>
        <v>7</v>
      </c>
      <c r="V9" s="325" t="s">
        <v>778</v>
      </c>
      <c r="W9" t="str">
        <f>IFERROR(VLOOKUP(ROWS($W$3:W9),$U$3:$V$992,2,0),"")</f>
        <v>Ostatní těžba a dobývání</v>
      </c>
      <c r="X9">
        <f>IF(ISNUMBER(SEARCH('1Př1'!$A$34,N9)),MAX($M$2:M8)+1,0)</f>
        <v>7</v>
      </c>
      <c r="Y9" s="325" t="s">
        <v>778</v>
      </c>
      <c r="Z9" t="str">
        <f>IFERROR(VLOOKUP(ROWS($Z$3:Z9),$X$3:$Y$992,2,0),"")</f>
        <v>Ostatní těžba a dobývání</v>
      </c>
    </row>
    <row r="10" spans="1:26" ht="12.75" customHeight="1">
      <c r="A10" s="301"/>
      <c r="B10" s="328" t="s">
        <v>780</v>
      </c>
      <c r="C10" s="329">
        <v>458</v>
      </c>
      <c r="D10" s="317">
        <f>IF(ISNUMBER(SEARCH(ZAKL_DATA!$B$14,E10)),MAX($D$2:D9)+1,0)</f>
        <v>8</v>
      </c>
      <c r="E10" s="330" t="s">
        <v>781</v>
      </c>
      <c r="F10" s="331">
        <v>2008</v>
      </c>
      <c r="G10" s="332"/>
      <c r="H10" s="333" t="str">
        <f>IFERROR(VLOOKUP(ROWS($H$3:H10),$D$3:$E$204,2,0),"")</f>
        <v>PRAHA 8</v>
      </c>
      <c r="I10" s="301"/>
      <c r="J10" s="335" t="s">
        <v>782</v>
      </c>
      <c r="K10" s="323" t="s">
        <v>783</v>
      </c>
      <c r="M10" s="324">
        <f>IF(ISNUMBER(SEARCH(ZAKL_DATA!$B$29,N10)),MAX($M$2:M9)+1,0)</f>
        <v>8</v>
      </c>
      <c r="N10" s="325" t="s">
        <v>784</v>
      </c>
      <c r="O10" s="326" t="s">
        <v>785</v>
      </c>
      <c r="Q10" s="327" t="str">
        <f>IFERROR(VLOOKUP(ROWS($Q$3:Q10),$M$3:$N$992,2,0),"")</f>
        <v>Podpůrné činnosti při těžbě</v>
      </c>
      <c r="R10">
        <f>IF(ISNUMBER(SEARCH('1Př1'!$A$32,N10)),MAX($M$2:M9)+1,0)</f>
        <v>8</v>
      </c>
      <c r="S10" s="325" t="s">
        <v>784</v>
      </c>
      <c r="T10" t="str">
        <f>IFERROR(VLOOKUP(ROWS($T$3:T10),$R$3:$S$992,2,0),"")</f>
        <v>Podpůrné činnosti při těžbě</v>
      </c>
      <c r="U10">
        <f>IF(ISNUMBER(SEARCH('1Př1'!$A$33,N10)),MAX($M$2:M9)+1,0)</f>
        <v>8</v>
      </c>
      <c r="V10" s="325" t="s">
        <v>784</v>
      </c>
      <c r="W10" t="str">
        <f>IFERROR(VLOOKUP(ROWS($W$3:W10),$U$3:$V$992,2,0),"")</f>
        <v>Podpůrné činnosti při těžbě</v>
      </c>
      <c r="X10">
        <f>IF(ISNUMBER(SEARCH('1Př1'!$A$34,N10)),MAX($M$2:M9)+1,0)</f>
        <v>8</v>
      </c>
      <c r="Y10" s="325" t="s">
        <v>784</v>
      </c>
      <c r="Z10" t="str">
        <f>IFERROR(VLOOKUP(ROWS($Z$3:Z10),$X$3:$Y$992,2,0),"")</f>
        <v>Podpůrné činnosti při těžbě</v>
      </c>
    </row>
    <row r="11" spans="1:26" ht="12.75" customHeight="1">
      <c r="A11" s="301"/>
      <c r="B11" s="328" t="s">
        <v>786</v>
      </c>
      <c r="C11" s="329">
        <v>459</v>
      </c>
      <c r="D11" s="317">
        <f>IF(ISNUMBER(SEARCH(ZAKL_DATA!$B$14,E11)),MAX($D$2:D10)+1,0)</f>
        <v>9</v>
      </c>
      <c r="E11" s="330" t="s">
        <v>787</v>
      </c>
      <c r="F11" s="331">
        <v>2009</v>
      </c>
      <c r="G11" s="332"/>
      <c r="H11" s="333" t="str">
        <f>IFERROR(VLOOKUP(ROWS($H$3:H11),$D$3:$E$204,2,0),"")</f>
        <v>PRAHA 9</v>
      </c>
      <c r="I11" s="301"/>
      <c r="J11" s="335" t="s">
        <v>788</v>
      </c>
      <c r="K11" s="323" t="s">
        <v>789</v>
      </c>
      <c r="M11" s="324">
        <f>IF(ISNUMBER(SEARCH(ZAKL_DATA!$B$29,N11)),MAX($M$2:M10)+1,0)</f>
        <v>9</v>
      </c>
      <c r="N11" s="325" t="s">
        <v>790</v>
      </c>
      <c r="O11" s="326" t="s">
        <v>791</v>
      </c>
      <c r="Q11" s="327" t="str">
        <f>IFERROR(VLOOKUP(ROWS($Q$3:Q11),$M$3:$N$992,2,0),"")</f>
        <v>Výroba potravinářských výrobků</v>
      </c>
      <c r="R11">
        <f>IF(ISNUMBER(SEARCH('1Př1'!$A$32,N11)),MAX($M$2:M10)+1,0)</f>
        <v>9</v>
      </c>
      <c r="S11" s="325" t="s">
        <v>790</v>
      </c>
      <c r="T11" t="str">
        <f>IFERROR(VLOOKUP(ROWS($T$3:T11),$R$3:$S$992,2,0),"")</f>
        <v>Výroba potravinářských výrobků</v>
      </c>
      <c r="U11">
        <f>IF(ISNUMBER(SEARCH('1Př1'!$A$33,N11)),MAX($M$2:M10)+1,0)</f>
        <v>9</v>
      </c>
      <c r="V11" s="325" t="s">
        <v>790</v>
      </c>
      <c r="W11" t="str">
        <f>IFERROR(VLOOKUP(ROWS($W$3:W11),$U$3:$V$992,2,0),"")</f>
        <v>Výroba potravinářských výrobků</v>
      </c>
      <c r="X11">
        <f>IF(ISNUMBER(SEARCH('1Př1'!$A$34,N11)),MAX($M$2:M10)+1,0)</f>
        <v>9</v>
      </c>
      <c r="Y11" s="325" t="s">
        <v>790</v>
      </c>
      <c r="Z11" t="str">
        <f>IFERROR(VLOOKUP(ROWS($Z$3:Z11),$X$3:$Y$992,2,0),"")</f>
        <v>Výroba potravinářských výrobků</v>
      </c>
    </row>
    <row r="12" spans="1:26" ht="12.75" customHeight="1">
      <c r="A12" s="301"/>
      <c r="B12" s="328" t="s">
        <v>792</v>
      </c>
      <c r="C12" s="302">
        <v>460</v>
      </c>
      <c r="D12" s="317">
        <f>IF(ISNUMBER(SEARCH(ZAKL_DATA!$B$14,E12)),MAX($D$2:D11)+1,0)</f>
        <v>10</v>
      </c>
      <c r="E12" s="330" t="s">
        <v>793</v>
      </c>
      <c r="F12" s="331">
        <v>2010</v>
      </c>
      <c r="G12" s="332"/>
      <c r="H12" s="333" t="str">
        <f>IFERROR(VLOOKUP(ROWS($H$3:H12),$D$3:$E$204,2,0),"")</f>
        <v>PRAHA 10</v>
      </c>
      <c r="I12" s="301"/>
      <c r="J12" s="335" t="s">
        <v>794</v>
      </c>
      <c r="K12" s="323" t="s">
        <v>795</v>
      </c>
      <c r="M12" s="324">
        <f>IF(ISNUMBER(SEARCH(ZAKL_DATA!$B$29,N12)),MAX($M$2:M11)+1,0)</f>
        <v>10</v>
      </c>
      <c r="N12" s="325" t="s">
        <v>796</v>
      </c>
      <c r="O12" s="326" t="s">
        <v>797</v>
      </c>
      <c r="Q12" s="327" t="str">
        <f>IFERROR(VLOOKUP(ROWS($Q$3:Q12),$M$3:$N$992,2,0),"")</f>
        <v>Výroba nápojů</v>
      </c>
      <c r="R12">
        <f>IF(ISNUMBER(SEARCH('1Př1'!$A$32,N12)),MAX($M$2:M11)+1,0)</f>
        <v>10</v>
      </c>
      <c r="S12" s="325" t="s">
        <v>796</v>
      </c>
      <c r="T12" t="str">
        <f>IFERROR(VLOOKUP(ROWS($T$3:T12),$R$3:$S$992,2,0),"")</f>
        <v>Výroba nápojů</v>
      </c>
      <c r="U12">
        <f>IF(ISNUMBER(SEARCH('1Př1'!$A$33,N12)),MAX($M$2:M11)+1,0)</f>
        <v>10</v>
      </c>
      <c r="V12" s="325" t="s">
        <v>796</v>
      </c>
      <c r="W12" t="str">
        <f>IFERROR(VLOOKUP(ROWS($W$3:W12),$U$3:$V$992,2,0),"")</f>
        <v>Výroba nápojů</v>
      </c>
      <c r="X12">
        <f>IF(ISNUMBER(SEARCH('1Př1'!$A$34,N12)),MAX($M$2:M11)+1,0)</f>
        <v>10</v>
      </c>
      <c r="Y12" s="325" t="s">
        <v>796</v>
      </c>
      <c r="Z12" t="str">
        <f>IFERROR(VLOOKUP(ROWS($Z$3:Z12),$X$3:$Y$992,2,0),"")</f>
        <v>Výroba nápojů</v>
      </c>
    </row>
    <row r="13" spans="1:26" ht="12.75" customHeight="1">
      <c r="A13" s="301"/>
      <c r="B13" s="328" t="s">
        <v>798</v>
      </c>
      <c r="C13" s="329">
        <v>461</v>
      </c>
      <c r="D13" s="317">
        <f>IF(ISNUMBER(SEARCH(ZAKL_DATA!$B$14,E13)),MAX($D$2:D12)+1,0)</f>
        <v>11</v>
      </c>
      <c r="E13" s="330" t="s">
        <v>799</v>
      </c>
      <c r="F13" s="331">
        <v>2011</v>
      </c>
      <c r="G13" s="332"/>
      <c r="H13" s="333" t="str">
        <f>IFERROR(VLOOKUP(ROWS($H$3:H13),$D$3:$E$204,2,0),"")</f>
        <v>PRAHA-JIŽNÍ MĚSTO</v>
      </c>
      <c r="I13" s="301"/>
      <c r="J13" s="335" t="s">
        <v>800</v>
      </c>
      <c r="K13" s="323" t="s">
        <v>801</v>
      </c>
      <c r="M13" s="324">
        <f>IF(ISNUMBER(SEARCH(ZAKL_DATA!$B$29,N13)),MAX($M$2:M12)+1,0)</f>
        <v>11</v>
      </c>
      <c r="N13" s="325" t="s">
        <v>802</v>
      </c>
      <c r="O13" s="326" t="s">
        <v>803</v>
      </c>
      <c r="Q13" s="327" t="str">
        <f>IFERROR(VLOOKUP(ROWS($Q$3:Q13),$M$3:$N$992,2,0),"")</f>
        <v>Pěstování plodin jiných než trvalých</v>
      </c>
      <c r="R13">
        <f>IF(ISNUMBER(SEARCH('1Př1'!$A$32,N13)),MAX($M$2:M12)+1,0)</f>
        <v>11</v>
      </c>
      <c r="S13" s="325" t="s">
        <v>802</v>
      </c>
      <c r="T13" t="str">
        <f>IFERROR(VLOOKUP(ROWS($T$3:T13),$R$3:$S$992,2,0),"")</f>
        <v>Pěstování plodin jiných než trvalých</v>
      </c>
      <c r="U13">
        <f>IF(ISNUMBER(SEARCH('1Př1'!$A$33,N13)),MAX($M$2:M12)+1,0)</f>
        <v>11</v>
      </c>
      <c r="V13" s="325" t="s">
        <v>802</v>
      </c>
      <c r="W13" t="str">
        <f>IFERROR(VLOOKUP(ROWS($W$3:W13),$U$3:$V$992,2,0),"")</f>
        <v>Pěstování plodin jiných než trvalých</v>
      </c>
      <c r="X13">
        <f>IF(ISNUMBER(SEARCH('1Př1'!$A$34,N13)),MAX($M$2:M12)+1,0)</f>
        <v>11</v>
      </c>
      <c r="Y13" s="325" t="s">
        <v>802</v>
      </c>
      <c r="Z13" t="str">
        <f>IFERROR(VLOOKUP(ROWS($Z$3:Z13),$X$3:$Y$992,2,0),"")</f>
        <v>Pěstování plodin jiných než trvalých</v>
      </c>
    </row>
    <row r="14" spans="1:26" ht="12.75" customHeight="1">
      <c r="A14" s="301"/>
      <c r="B14" s="328" t="s">
        <v>804</v>
      </c>
      <c r="C14" s="329">
        <v>462</v>
      </c>
      <c r="D14" s="317">
        <f>IF(ISNUMBER(SEARCH(ZAKL_DATA!$B$14,E14)),MAX($D$2:D13)+1,0)</f>
        <v>12</v>
      </c>
      <c r="E14" s="330" t="s">
        <v>805</v>
      </c>
      <c r="F14" s="331">
        <v>2012</v>
      </c>
      <c r="G14" s="332"/>
      <c r="H14" s="333" t="str">
        <f>IFERROR(VLOOKUP(ROWS($H$3:H14),$D$3:$E$204,2,0),"")</f>
        <v>PRAHA-MODŘANY</v>
      </c>
      <c r="I14" s="301"/>
      <c r="J14" s="335" t="s">
        <v>806</v>
      </c>
      <c r="K14" s="323" t="s">
        <v>807</v>
      </c>
      <c r="M14" s="324">
        <f>IF(ISNUMBER(SEARCH(ZAKL_DATA!$B$29,N14)),MAX($M$2:M13)+1,0)</f>
        <v>12</v>
      </c>
      <c r="N14" s="325" t="s">
        <v>808</v>
      </c>
      <c r="O14" s="326" t="s">
        <v>809</v>
      </c>
      <c r="Q14" s="327" t="str">
        <f>IFERROR(VLOOKUP(ROWS($Q$3:Q14),$M$3:$N$992,2,0),"")</f>
        <v>Výroba tabákových výrobků</v>
      </c>
      <c r="R14">
        <f>IF(ISNUMBER(SEARCH('1Př1'!$A$32,N14)),MAX($M$2:M13)+1,0)</f>
        <v>12</v>
      </c>
      <c r="S14" s="325" t="s">
        <v>808</v>
      </c>
      <c r="T14" t="str">
        <f>IFERROR(VLOOKUP(ROWS($T$3:T14),$R$3:$S$992,2,0),"")</f>
        <v>Výroba tabákových výrobků</v>
      </c>
      <c r="U14">
        <f>IF(ISNUMBER(SEARCH('1Př1'!$A$33,N14)),MAX($M$2:M13)+1,0)</f>
        <v>12</v>
      </c>
      <c r="V14" s="325" t="s">
        <v>808</v>
      </c>
      <c r="W14" t="str">
        <f>IFERROR(VLOOKUP(ROWS($W$3:W14),$U$3:$V$992,2,0),"")</f>
        <v>Výroba tabákových výrobků</v>
      </c>
      <c r="X14">
        <f>IF(ISNUMBER(SEARCH('1Př1'!$A$34,N14)),MAX($M$2:M13)+1,0)</f>
        <v>12</v>
      </c>
      <c r="Y14" s="325" t="s">
        <v>808</v>
      </c>
      <c r="Z14" t="str">
        <f>IFERROR(VLOOKUP(ROWS($Z$3:Z14),$X$3:$Y$992,2,0),"")</f>
        <v>Výroba tabákových výrobků</v>
      </c>
    </row>
    <row r="15" spans="1:26" ht="12.75" customHeight="1">
      <c r="A15" s="301"/>
      <c r="B15" s="328" t="s">
        <v>810</v>
      </c>
      <c r="C15" s="329">
        <v>463</v>
      </c>
      <c r="D15" s="317">
        <f>IF(ISNUMBER(SEARCH(ZAKL_DATA!$B$14,E15)),MAX($D$2:D14)+1,0)</f>
        <v>13</v>
      </c>
      <c r="E15" s="330" t="s">
        <v>811</v>
      </c>
      <c r="F15" s="331">
        <v>2101</v>
      </c>
      <c r="G15" s="332"/>
      <c r="H15" s="333" t="str">
        <f>IFERROR(VLOOKUP(ROWS($H$3:H15),$D$3:$E$204,2,0),"")</f>
        <v>PRAHA - VÝCHOD</v>
      </c>
      <c r="I15" s="301"/>
      <c r="J15" s="335" t="s">
        <v>812</v>
      </c>
      <c r="K15" s="323" t="s">
        <v>813</v>
      </c>
      <c r="M15" s="324">
        <f>IF(ISNUMBER(SEARCH(ZAKL_DATA!$B$29,N15)),MAX($M$2:M14)+1,0)</f>
        <v>13</v>
      </c>
      <c r="N15" s="325" t="s">
        <v>814</v>
      </c>
      <c r="O15" s="326" t="s">
        <v>815</v>
      </c>
      <c r="Q15" s="327" t="str">
        <f>IFERROR(VLOOKUP(ROWS($Q$3:Q15),$M$3:$N$992,2,0),"")</f>
        <v>Pěstování trvalých plodin</v>
      </c>
      <c r="R15">
        <f>IF(ISNUMBER(SEARCH('1Př1'!$A$32,N15)),MAX($M$2:M14)+1,0)</f>
        <v>13</v>
      </c>
      <c r="S15" s="325" t="s">
        <v>814</v>
      </c>
      <c r="T15" t="str">
        <f>IFERROR(VLOOKUP(ROWS($T$3:T15),$R$3:$S$992,2,0),"")</f>
        <v>Pěstování trvalých plodin</v>
      </c>
      <c r="U15">
        <f>IF(ISNUMBER(SEARCH('1Př1'!$A$33,N15)),MAX($M$2:M14)+1,0)</f>
        <v>13</v>
      </c>
      <c r="V15" s="325" t="s">
        <v>814</v>
      </c>
      <c r="W15" t="str">
        <f>IFERROR(VLOOKUP(ROWS($W$3:W15),$U$3:$V$992,2,0),"")</f>
        <v>Pěstování trvalých plodin</v>
      </c>
      <c r="X15">
        <f>IF(ISNUMBER(SEARCH('1Př1'!$A$34,N15)),MAX($M$2:M14)+1,0)</f>
        <v>13</v>
      </c>
      <c r="Y15" s="325" t="s">
        <v>814</v>
      </c>
      <c r="Z15" t="str">
        <f>IFERROR(VLOOKUP(ROWS($Z$3:Z15),$X$3:$Y$992,2,0),"")</f>
        <v>Pěstování trvalých plodin</v>
      </c>
    </row>
    <row r="16" spans="1:26" ht="12.75" customHeight="1">
      <c r="A16" s="301"/>
      <c r="B16" s="328" t="s">
        <v>816</v>
      </c>
      <c r="C16" s="329">
        <v>464</v>
      </c>
      <c r="D16" s="317">
        <f>IF(ISNUMBER(SEARCH(ZAKL_DATA!$B$14,E16)),MAX($D$2:D15)+1,0)</f>
        <v>14</v>
      </c>
      <c r="E16" s="330" t="s">
        <v>817</v>
      </c>
      <c r="F16" s="331">
        <v>2102</v>
      </c>
      <c r="G16" s="332"/>
      <c r="H16" s="333" t="str">
        <f>IFERROR(VLOOKUP(ROWS($H$3:H16),$D$3:$E$204,2,0),"")</f>
        <v>PRAHA ZÁPAD</v>
      </c>
      <c r="I16" s="301"/>
      <c r="J16" s="335" t="s">
        <v>818</v>
      </c>
      <c r="K16" s="323" t="s">
        <v>819</v>
      </c>
      <c r="M16" s="324">
        <f>IF(ISNUMBER(SEARCH(ZAKL_DATA!$B$29,N16)),MAX($M$2:M15)+1,0)</f>
        <v>14</v>
      </c>
      <c r="N16" s="325" t="s">
        <v>820</v>
      </c>
      <c r="O16" s="326" t="s">
        <v>821</v>
      </c>
      <c r="Q16" s="327" t="str">
        <f>IFERROR(VLOOKUP(ROWS($Q$3:Q16),$M$3:$N$992,2,0),"")</f>
        <v>Výroba textilií</v>
      </c>
      <c r="R16">
        <f>IF(ISNUMBER(SEARCH('1Př1'!$A$32,N16)),MAX($M$2:M15)+1,0)</f>
        <v>14</v>
      </c>
      <c r="S16" s="325" t="s">
        <v>820</v>
      </c>
      <c r="T16" t="str">
        <f>IFERROR(VLOOKUP(ROWS($T$3:T16),$R$3:$S$992,2,0),"")</f>
        <v>Výroba textilií</v>
      </c>
      <c r="U16">
        <f>IF(ISNUMBER(SEARCH('1Př1'!$A$33,N16)),MAX($M$2:M15)+1,0)</f>
        <v>14</v>
      </c>
      <c r="V16" s="325" t="s">
        <v>820</v>
      </c>
      <c r="W16" t="str">
        <f>IFERROR(VLOOKUP(ROWS($W$3:W16),$U$3:$V$992,2,0),"")</f>
        <v>Výroba textilií</v>
      </c>
      <c r="X16">
        <f>IF(ISNUMBER(SEARCH('1Př1'!$A$34,N16)),MAX($M$2:M15)+1,0)</f>
        <v>14</v>
      </c>
      <c r="Y16" s="325" t="s">
        <v>820</v>
      </c>
      <c r="Z16" t="str">
        <f>IFERROR(VLOOKUP(ROWS($Z$3:Z16),$X$3:$Y$992,2,0),"")</f>
        <v>Výroba textilií</v>
      </c>
    </row>
    <row r="17" spans="1:26" ht="12.75" customHeight="1" thickBot="1">
      <c r="A17" s="301"/>
      <c r="B17" s="336" t="s">
        <v>822</v>
      </c>
      <c r="C17" s="337">
        <v>13</v>
      </c>
      <c r="D17" s="317">
        <f>IF(ISNUMBER(SEARCH(ZAKL_DATA!$B$14,E17)),MAX($D$2:D16)+1,0)</f>
        <v>15</v>
      </c>
      <c r="E17" s="330" t="s">
        <v>823</v>
      </c>
      <c r="F17" s="331">
        <v>2103</v>
      </c>
      <c r="G17" s="332"/>
      <c r="H17" s="333" t="str">
        <f>IFERROR(VLOOKUP(ROWS($H$3:H17),$D$3:$E$204,2,0),"")</f>
        <v>BENEŠOV</v>
      </c>
      <c r="I17" s="301"/>
      <c r="J17" s="335" t="s">
        <v>824</v>
      </c>
      <c r="K17" s="323" t="s">
        <v>825</v>
      </c>
      <c r="M17" s="324">
        <f>IF(ISNUMBER(SEARCH(ZAKL_DATA!$B$29,N17)),MAX($M$2:M16)+1,0)</f>
        <v>15</v>
      </c>
      <c r="N17" s="325" t="s">
        <v>826</v>
      </c>
      <c r="O17" s="326" t="s">
        <v>827</v>
      </c>
      <c r="Q17" s="327" t="str">
        <f>IFERROR(VLOOKUP(ROWS($Q$3:Q17),$M$3:$N$992,2,0),"")</f>
        <v>Množení rostlin</v>
      </c>
      <c r="R17">
        <f>IF(ISNUMBER(SEARCH('1Př1'!$A$32,N17)),MAX($M$2:M16)+1,0)</f>
        <v>15</v>
      </c>
      <c r="S17" s="325" t="s">
        <v>826</v>
      </c>
      <c r="T17" t="str">
        <f>IFERROR(VLOOKUP(ROWS($T$3:T17),$R$3:$S$992,2,0),"")</f>
        <v>Množení rostlin</v>
      </c>
      <c r="U17">
        <f>IF(ISNUMBER(SEARCH('1Př1'!$A$33,N17)),MAX($M$2:M16)+1,0)</f>
        <v>15</v>
      </c>
      <c r="V17" s="325" t="s">
        <v>826</v>
      </c>
      <c r="W17" t="str">
        <f>IFERROR(VLOOKUP(ROWS($W$3:W17),$U$3:$V$992,2,0),"")</f>
        <v>Množení rostlin</v>
      </c>
      <c r="X17">
        <f>IF(ISNUMBER(SEARCH('1Př1'!$A$34,N17)),MAX($M$2:M16)+1,0)</f>
        <v>15</v>
      </c>
      <c r="Y17" s="325" t="s">
        <v>826</v>
      </c>
      <c r="Z17" t="str">
        <f>IFERROR(VLOOKUP(ROWS($Z$3:Z17),$X$3:$Y$992,2,0),"")</f>
        <v>Množení rostlin</v>
      </c>
    </row>
    <row r="18" spans="1:26" ht="12.75" customHeight="1">
      <c r="A18" s="301"/>
      <c r="B18" s="301"/>
      <c r="C18" s="301"/>
      <c r="D18" s="317">
        <f>IF(ISNUMBER(SEARCH(ZAKL_DATA!$B$14,E18)),MAX($D$2:D17)+1,0)</f>
        <v>16</v>
      </c>
      <c r="E18" s="330" t="s">
        <v>828</v>
      </c>
      <c r="F18" s="331">
        <v>2104</v>
      </c>
      <c r="G18" s="332"/>
      <c r="H18" s="333" t="str">
        <f>IFERROR(VLOOKUP(ROWS($H$3:H18),$D$3:$E$204,2,0),"")</f>
        <v>BEROUN</v>
      </c>
      <c r="I18" s="301"/>
      <c r="J18" s="335" t="s">
        <v>829</v>
      </c>
      <c r="K18" s="323" t="s">
        <v>830</v>
      </c>
      <c r="M18" s="324">
        <f>IF(ISNUMBER(SEARCH(ZAKL_DATA!$B$29,N18)),MAX($M$2:M17)+1,0)</f>
        <v>16</v>
      </c>
      <c r="N18" s="325" t="s">
        <v>831</v>
      </c>
      <c r="O18" s="326" t="s">
        <v>832</v>
      </c>
      <c r="Q18" s="327" t="str">
        <f>IFERROR(VLOOKUP(ROWS($Q$3:Q18),$M$3:$N$992,2,0),"")</f>
        <v>Výroba oděvů</v>
      </c>
      <c r="R18">
        <f>IF(ISNUMBER(SEARCH('1Př1'!$A$32,N18)),MAX($M$2:M17)+1,0)</f>
        <v>16</v>
      </c>
      <c r="S18" s="325" t="s">
        <v>831</v>
      </c>
      <c r="T18" t="str">
        <f>IFERROR(VLOOKUP(ROWS($T$3:T18),$R$3:$S$992,2,0),"")</f>
        <v>Výroba oděvů</v>
      </c>
      <c r="U18">
        <f>IF(ISNUMBER(SEARCH('1Př1'!$A$33,N18)),MAX($M$2:M17)+1,0)</f>
        <v>16</v>
      </c>
      <c r="V18" s="325" t="s">
        <v>831</v>
      </c>
      <c r="W18" t="str">
        <f>IFERROR(VLOOKUP(ROWS($W$3:W18),$U$3:$V$992,2,0),"")</f>
        <v>Výroba oděvů</v>
      </c>
      <c r="X18">
        <f>IF(ISNUMBER(SEARCH('1Př1'!$A$34,N18)),MAX($M$2:M17)+1,0)</f>
        <v>16</v>
      </c>
      <c r="Y18" s="325" t="s">
        <v>831</v>
      </c>
      <c r="Z18" t="str">
        <f>IFERROR(VLOOKUP(ROWS($Z$3:Z18),$X$3:$Y$992,2,0),"")</f>
        <v>Výroba oděvů</v>
      </c>
    </row>
    <row r="19" spans="1:26" ht="12.75" customHeight="1">
      <c r="A19" s="301"/>
      <c r="B19" s="301"/>
      <c r="C19" s="301"/>
      <c r="D19" s="317">
        <f>IF(ISNUMBER(SEARCH(ZAKL_DATA!$B$14,E19)),MAX($D$2:D18)+1,0)</f>
        <v>17</v>
      </c>
      <c r="E19" s="330" t="s">
        <v>833</v>
      </c>
      <c r="F19" s="331">
        <v>2105</v>
      </c>
      <c r="G19" s="332"/>
      <c r="H19" s="333" t="str">
        <f>IFERROR(VLOOKUP(ROWS($H$3:H19),$D$3:$E$204,2,0),"")</f>
        <v>BRANDÝS N.L. - ST.BOL.</v>
      </c>
      <c r="I19" s="301"/>
      <c r="J19" s="335" t="s">
        <v>834</v>
      </c>
      <c r="K19" s="323" t="s">
        <v>835</v>
      </c>
      <c r="M19" s="324">
        <f>IF(ISNUMBER(SEARCH(ZAKL_DATA!$B$29,N19)),MAX($M$2:M18)+1,0)</f>
        <v>17</v>
      </c>
      <c r="N19" s="325" t="s">
        <v>836</v>
      </c>
      <c r="O19" s="326" t="s">
        <v>837</v>
      </c>
      <c r="Q19" s="327" t="str">
        <f>IFERROR(VLOOKUP(ROWS($Q$3:Q19),$M$3:$N$992,2,0),"")</f>
        <v>živočišná výroba</v>
      </c>
      <c r="R19">
        <f>IF(ISNUMBER(SEARCH('1Př1'!$A$32,N19)),MAX($M$2:M18)+1,0)</f>
        <v>17</v>
      </c>
      <c r="S19" s="325" t="s">
        <v>836</v>
      </c>
      <c r="T19" t="str">
        <f>IFERROR(VLOOKUP(ROWS($T$3:T19),$R$3:$S$992,2,0),"")</f>
        <v>živočišná výroba</v>
      </c>
      <c r="U19">
        <f>IF(ISNUMBER(SEARCH('1Př1'!$A$33,N19)),MAX($M$2:M18)+1,0)</f>
        <v>17</v>
      </c>
      <c r="V19" s="325" t="s">
        <v>836</v>
      </c>
      <c r="W19" t="str">
        <f>IFERROR(VLOOKUP(ROWS($W$3:W19),$U$3:$V$992,2,0),"")</f>
        <v>živočišná výroba</v>
      </c>
      <c r="X19">
        <f>IF(ISNUMBER(SEARCH('1Př1'!$A$34,N19)),MAX($M$2:M18)+1,0)</f>
        <v>17</v>
      </c>
      <c r="Y19" s="325" t="s">
        <v>836</v>
      </c>
      <c r="Z19" t="str">
        <f>IFERROR(VLOOKUP(ROWS($Z$3:Z19),$X$3:$Y$992,2,0),"")</f>
        <v>živočišná výroba</v>
      </c>
    </row>
    <row r="20" spans="1:26" ht="12.75" customHeight="1">
      <c r="A20" s="301"/>
      <c r="B20" s="301"/>
      <c r="C20" s="301"/>
      <c r="D20" s="317">
        <f>IF(ISNUMBER(SEARCH(ZAKL_DATA!$B$14,E20)),MAX($D$2:D19)+1,0)</f>
        <v>18</v>
      </c>
      <c r="E20" s="330" t="s">
        <v>838</v>
      </c>
      <c r="F20" s="331">
        <v>2106</v>
      </c>
      <c r="G20" s="332"/>
      <c r="H20" s="333" t="str">
        <f>IFERROR(VLOOKUP(ROWS($H$3:H20),$D$3:$E$204,2,0),"")</f>
        <v>ČÁSLAV</v>
      </c>
      <c r="I20" s="301"/>
      <c r="J20" s="335" t="s">
        <v>839</v>
      </c>
      <c r="K20" s="323" t="s">
        <v>840</v>
      </c>
      <c r="M20" s="324">
        <f>IF(ISNUMBER(SEARCH(ZAKL_DATA!$B$29,N20)),MAX($M$2:M19)+1,0)</f>
        <v>18</v>
      </c>
      <c r="N20" s="325" t="s">
        <v>841</v>
      </c>
      <c r="O20" s="326" t="s">
        <v>842</v>
      </c>
      <c r="Q20" s="327" t="str">
        <f>IFERROR(VLOOKUP(ROWS($Q$3:Q20),$M$3:$N$992,2,0),"")</f>
        <v>Výroba usní a souvisejících výrobků</v>
      </c>
      <c r="R20">
        <f>IF(ISNUMBER(SEARCH('1Př1'!$A$32,N20)),MAX($M$2:M19)+1,0)</f>
        <v>18</v>
      </c>
      <c r="S20" s="325" t="s">
        <v>841</v>
      </c>
      <c r="T20" t="str">
        <f>IFERROR(VLOOKUP(ROWS($T$3:T20),$R$3:$S$992,2,0),"")</f>
        <v>Výroba usní a souvisejících výrobků</v>
      </c>
      <c r="U20">
        <f>IF(ISNUMBER(SEARCH('1Př1'!$A$33,N20)),MAX($M$2:M19)+1,0)</f>
        <v>18</v>
      </c>
      <c r="V20" s="325" t="s">
        <v>841</v>
      </c>
      <c r="W20" t="str">
        <f>IFERROR(VLOOKUP(ROWS($W$3:W20),$U$3:$V$992,2,0),"")</f>
        <v>Výroba usní a souvisejících výrobků</v>
      </c>
      <c r="X20">
        <f>IF(ISNUMBER(SEARCH('1Př1'!$A$34,N20)),MAX($M$2:M19)+1,0)</f>
        <v>18</v>
      </c>
      <c r="Y20" s="325" t="s">
        <v>841</v>
      </c>
      <c r="Z20" t="str">
        <f>IFERROR(VLOOKUP(ROWS($Z$3:Z20),$X$3:$Y$992,2,0),"")</f>
        <v>Výroba usní a souvisejících výrobků</v>
      </c>
    </row>
    <row r="21" spans="1:26" ht="12.75" customHeight="1">
      <c r="A21" s="301"/>
      <c r="B21" s="301"/>
      <c r="C21" s="301"/>
      <c r="D21" s="317">
        <f>IF(ISNUMBER(SEARCH(ZAKL_DATA!$B$14,E21)),MAX($D$2:D20)+1,0)</f>
        <v>19</v>
      </c>
      <c r="E21" s="330" t="s">
        <v>843</v>
      </c>
      <c r="F21" s="331">
        <v>2107</v>
      </c>
      <c r="G21" s="332"/>
      <c r="H21" s="333" t="str">
        <f>IFERROR(VLOOKUP(ROWS($H$3:H21),$D$3:$E$204,2,0),"")</f>
        <v>ČESKÝ BROD</v>
      </c>
      <c r="I21" s="301"/>
      <c r="J21" s="335" t="s">
        <v>844</v>
      </c>
      <c r="K21" s="323" t="s">
        <v>845</v>
      </c>
      <c r="M21" s="324">
        <f>IF(ISNUMBER(SEARCH(ZAKL_DATA!$B$29,N21)),MAX($M$2:M20)+1,0)</f>
        <v>19</v>
      </c>
      <c r="N21" s="325" t="s">
        <v>846</v>
      </c>
      <c r="O21" s="326" t="s">
        <v>847</v>
      </c>
      <c r="Q21" s="327" t="str">
        <f>IFERROR(VLOOKUP(ROWS($Q$3:Q21),$M$3:$N$992,2,0),"")</f>
        <v>Smíšené hospodářství</v>
      </c>
      <c r="R21">
        <f>IF(ISNUMBER(SEARCH('1Př1'!$A$32,N21)),MAX($M$2:M20)+1,0)</f>
        <v>19</v>
      </c>
      <c r="S21" s="325" t="s">
        <v>846</v>
      </c>
      <c r="T21" t="str">
        <f>IFERROR(VLOOKUP(ROWS($T$3:T21),$R$3:$S$992,2,0),"")</f>
        <v>Smíšené hospodářství</v>
      </c>
      <c r="U21">
        <f>IF(ISNUMBER(SEARCH('1Př1'!$A$33,N21)),MAX($M$2:M20)+1,0)</f>
        <v>19</v>
      </c>
      <c r="V21" s="325" t="s">
        <v>846</v>
      </c>
      <c r="W21" t="str">
        <f>IFERROR(VLOOKUP(ROWS($W$3:W21),$U$3:$V$992,2,0),"")</f>
        <v>Smíšené hospodářství</v>
      </c>
      <c r="X21">
        <f>IF(ISNUMBER(SEARCH('1Př1'!$A$34,N21)),MAX($M$2:M20)+1,0)</f>
        <v>19</v>
      </c>
      <c r="Y21" s="325" t="s">
        <v>846</v>
      </c>
      <c r="Z21" t="str">
        <f>IFERROR(VLOOKUP(ROWS($Z$3:Z21),$X$3:$Y$992,2,0),"")</f>
        <v>Smíšené hospodářství</v>
      </c>
    </row>
    <row r="22" spans="1:26" ht="12.75" customHeight="1">
      <c r="A22" s="301"/>
      <c r="B22" s="301"/>
      <c r="C22" s="301"/>
      <c r="D22" s="317">
        <f>IF(ISNUMBER(SEARCH(ZAKL_DATA!$B$14,E22)),MAX($D$2:D21)+1,0)</f>
        <v>20</v>
      </c>
      <c r="E22" s="330" t="s">
        <v>848</v>
      </c>
      <c r="F22" s="331">
        <v>2108</v>
      </c>
      <c r="G22" s="332"/>
      <c r="H22" s="333" t="str">
        <f>IFERROR(VLOOKUP(ROWS($H$3:H22),$D$3:$E$204,2,0),"")</f>
        <v>DOBŘÍŠ</v>
      </c>
      <c r="I22" s="301"/>
      <c r="J22" s="335" t="s">
        <v>849</v>
      </c>
      <c r="K22" s="323" t="s">
        <v>850</v>
      </c>
      <c r="M22" s="324">
        <f>IF(ISNUMBER(SEARCH(ZAKL_DATA!$B$29,N22)),MAX($M$2:M21)+1,0)</f>
        <v>20</v>
      </c>
      <c r="N22" s="325" t="s">
        <v>851</v>
      </c>
      <c r="O22" s="326" t="s">
        <v>852</v>
      </c>
      <c r="Q22" s="327" t="str">
        <f>IFERROR(VLOOKUP(ROWS($Q$3:Q22),$M$3:$N$992,2,0),"")</f>
        <v>Zprac.dřeva,výroba dřevěných,korkových,proutěných a slam.výr.,kromě nábytku</v>
      </c>
      <c r="R22">
        <f>IF(ISNUMBER(SEARCH('1Př1'!$A$32,N22)),MAX($M$2:M21)+1,0)</f>
        <v>20</v>
      </c>
      <c r="S22" s="325" t="s">
        <v>851</v>
      </c>
      <c r="T22" t="str">
        <f>IFERROR(VLOOKUP(ROWS($T$3:T22),$R$3:$S$992,2,0),"")</f>
        <v>Zprac.dřeva,výroba dřevěných,korkových,proutěných a slam.výr.,kromě nábytku</v>
      </c>
      <c r="U22">
        <f>IF(ISNUMBER(SEARCH('1Př1'!$A$33,N22)),MAX($M$2:M21)+1,0)</f>
        <v>20</v>
      </c>
      <c r="V22" s="325" t="s">
        <v>851</v>
      </c>
      <c r="W22" t="str">
        <f>IFERROR(VLOOKUP(ROWS($W$3:W22),$U$3:$V$992,2,0),"")</f>
        <v>Zprac.dřeva,výroba dřevěných,korkových,proutěných a slam.výr.,kromě nábytku</v>
      </c>
      <c r="X22">
        <f>IF(ISNUMBER(SEARCH('1Př1'!$A$34,N22)),MAX($M$2:M21)+1,0)</f>
        <v>20</v>
      </c>
      <c r="Y22" s="325" t="s">
        <v>851</v>
      </c>
      <c r="Z22" t="str">
        <f>IFERROR(VLOOKUP(ROWS($Z$3:Z22),$X$3:$Y$992,2,0),"")</f>
        <v>Zprac.dřeva,výroba dřevěných,korkových,proutěných a slam.výr.,kromě nábytku</v>
      </c>
    </row>
    <row r="23" spans="1:26" ht="12.75" customHeight="1">
      <c r="A23" s="301"/>
      <c r="B23" s="301"/>
      <c r="C23" s="301"/>
      <c r="D23" s="317">
        <f>IF(ISNUMBER(SEARCH(ZAKL_DATA!$B$14,E23)),MAX($D$2:D22)+1,0)</f>
        <v>21</v>
      </c>
      <c r="E23" s="330" t="s">
        <v>853</v>
      </c>
      <c r="F23" s="331">
        <v>2109</v>
      </c>
      <c r="G23" s="332"/>
      <c r="H23" s="333" t="str">
        <f>IFERROR(VLOOKUP(ROWS($H$3:H23),$D$3:$E$204,2,0),"")</f>
        <v>HOŘOVICE</v>
      </c>
      <c r="I23" s="301"/>
      <c r="J23" s="335" t="s">
        <v>854</v>
      </c>
      <c r="K23" s="323" t="s">
        <v>855</v>
      </c>
      <c r="M23" s="324">
        <f>IF(ISNUMBER(SEARCH(ZAKL_DATA!$B$29,N23)),MAX($M$2:M22)+1,0)</f>
        <v>21</v>
      </c>
      <c r="N23" s="325" t="s">
        <v>856</v>
      </c>
      <c r="O23" s="326" t="s">
        <v>857</v>
      </c>
      <c r="Q23" s="327" t="str">
        <f>IFERROR(VLOOKUP(ROWS($Q$3:Q23),$M$3:$N$992,2,0),"")</f>
        <v>Podpůrné činnosti pro zemědělství a posklizňové činnosti</v>
      </c>
      <c r="R23">
        <f>IF(ISNUMBER(SEARCH('1Př1'!$A$32,N23)),MAX($M$2:M22)+1,0)</f>
        <v>21</v>
      </c>
      <c r="S23" s="325" t="s">
        <v>856</v>
      </c>
      <c r="T23" t="str">
        <f>IFERROR(VLOOKUP(ROWS($T$3:T23),$R$3:$S$992,2,0),"")</f>
        <v>Podpůrné činnosti pro zemědělství a posklizňové činnosti</v>
      </c>
      <c r="U23">
        <f>IF(ISNUMBER(SEARCH('1Př1'!$A$33,N23)),MAX($M$2:M22)+1,0)</f>
        <v>21</v>
      </c>
      <c r="V23" s="325" t="s">
        <v>856</v>
      </c>
      <c r="W23" t="str">
        <f>IFERROR(VLOOKUP(ROWS($W$3:W23),$U$3:$V$992,2,0),"")</f>
        <v>Podpůrné činnosti pro zemědělství a posklizňové činnosti</v>
      </c>
      <c r="X23">
        <f>IF(ISNUMBER(SEARCH('1Př1'!$A$34,N23)),MAX($M$2:M22)+1,0)</f>
        <v>21</v>
      </c>
      <c r="Y23" s="325" t="s">
        <v>856</v>
      </c>
      <c r="Z23" t="str">
        <f>IFERROR(VLOOKUP(ROWS($Z$3:Z23),$X$3:$Y$992,2,0),"")</f>
        <v>Podpůrné činnosti pro zemědělství a posklizňové činnosti</v>
      </c>
    </row>
    <row r="24" spans="1:26" ht="12.75" customHeight="1">
      <c r="A24" s="301"/>
      <c r="B24" s="301"/>
      <c r="C24" s="301"/>
      <c r="D24" s="317">
        <f>IF(ISNUMBER(SEARCH(ZAKL_DATA!$B$14,E24)),MAX($D$2:D23)+1,0)</f>
        <v>22</v>
      </c>
      <c r="E24" s="330" t="s">
        <v>858</v>
      </c>
      <c r="F24" s="331">
        <v>2110</v>
      </c>
      <c r="G24" s="332"/>
      <c r="H24" s="333" t="str">
        <f>IFERROR(VLOOKUP(ROWS($H$3:H24),$D$3:$E$204,2,0),"")</f>
        <v>KLADNO</v>
      </c>
      <c r="I24" s="301"/>
      <c r="J24" s="335" t="s">
        <v>859</v>
      </c>
      <c r="K24" s="323" t="s">
        <v>860</v>
      </c>
      <c r="M24" s="324">
        <f>IF(ISNUMBER(SEARCH(ZAKL_DATA!$B$29,N24)),MAX($M$2:M23)+1,0)</f>
        <v>22</v>
      </c>
      <c r="N24" s="325" t="s">
        <v>861</v>
      </c>
      <c r="O24" s="326" t="s">
        <v>862</v>
      </c>
      <c r="Q24" s="327" t="str">
        <f>IFERROR(VLOOKUP(ROWS($Q$3:Q24),$M$3:$N$992,2,0),"")</f>
        <v>Výroba papíru a výrobků z papíru</v>
      </c>
      <c r="R24">
        <f>IF(ISNUMBER(SEARCH('1Př1'!$A$32,N24)),MAX($M$2:M23)+1,0)</f>
        <v>22</v>
      </c>
      <c r="S24" s="325" t="s">
        <v>861</v>
      </c>
      <c r="T24" t="str">
        <f>IFERROR(VLOOKUP(ROWS($T$3:T24),$R$3:$S$992,2,0),"")</f>
        <v>Výroba papíru a výrobků z papíru</v>
      </c>
      <c r="U24">
        <f>IF(ISNUMBER(SEARCH('1Př1'!$A$33,N24)),MAX($M$2:M23)+1,0)</f>
        <v>22</v>
      </c>
      <c r="V24" s="325" t="s">
        <v>861</v>
      </c>
      <c r="W24" t="str">
        <f>IFERROR(VLOOKUP(ROWS($W$3:W24),$U$3:$V$992,2,0),"")</f>
        <v>Výroba papíru a výrobků z papíru</v>
      </c>
      <c r="X24">
        <f>IF(ISNUMBER(SEARCH('1Př1'!$A$34,N24)),MAX($M$2:M23)+1,0)</f>
        <v>22</v>
      </c>
      <c r="Y24" s="325" t="s">
        <v>861</v>
      </c>
      <c r="Z24" t="str">
        <f>IFERROR(VLOOKUP(ROWS($Z$3:Z24),$X$3:$Y$992,2,0),"")</f>
        <v>Výroba papíru a výrobků z papíru</v>
      </c>
    </row>
    <row r="25" spans="1:26" ht="12.75" customHeight="1">
      <c r="A25" s="301"/>
      <c r="B25" s="301"/>
      <c r="C25" s="301"/>
      <c r="D25" s="317">
        <f>IF(ISNUMBER(SEARCH(ZAKL_DATA!$B$14,E25)),MAX($D$2:D24)+1,0)</f>
        <v>23</v>
      </c>
      <c r="E25" s="330" t="s">
        <v>863</v>
      </c>
      <c r="F25" s="331">
        <v>2111</v>
      </c>
      <c r="G25" s="332"/>
      <c r="H25" s="333" t="str">
        <f>IFERROR(VLOOKUP(ROWS($H$3:H25),$D$3:$E$204,2,0),"")</f>
        <v>KOLÍN</v>
      </c>
      <c r="I25" s="301"/>
      <c r="J25" s="335" t="s">
        <v>864</v>
      </c>
      <c r="K25" s="323" t="s">
        <v>865</v>
      </c>
      <c r="M25" s="324">
        <f>IF(ISNUMBER(SEARCH(ZAKL_DATA!$B$29,N25)),MAX($M$2:M24)+1,0)</f>
        <v>23</v>
      </c>
      <c r="N25" s="325" t="s">
        <v>866</v>
      </c>
      <c r="O25" s="326" t="s">
        <v>867</v>
      </c>
      <c r="Q25" s="327" t="str">
        <f>IFERROR(VLOOKUP(ROWS($Q$3:Q25),$M$3:$N$992,2,0),"")</f>
        <v>Lov a odchyt divokých zvířat a související činnosti</v>
      </c>
      <c r="R25">
        <f>IF(ISNUMBER(SEARCH('1Př1'!$A$32,N25)),MAX($M$2:M24)+1,0)</f>
        <v>23</v>
      </c>
      <c r="S25" s="325" t="s">
        <v>866</v>
      </c>
      <c r="T25" t="str">
        <f>IFERROR(VLOOKUP(ROWS($T$3:T25),$R$3:$S$992,2,0),"")</f>
        <v>Lov a odchyt divokých zvířat a související činnosti</v>
      </c>
      <c r="U25">
        <f>IF(ISNUMBER(SEARCH('1Př1'!$A$33,N25)),MAX($M$2:M24)+1,0)</f>
        <v>23</v>
      </c>
      <c r="V25" s="325" t="s">
        <v>866</v>
      </c>
      <c r="W25" t="str">
        <f>IFERROR(VLOOKUP(ROWS($W$3:W25),$U$3:$V$992,2,0),"")</f>
        <v>Lov a odchyt divokých zvířat a související činnosti</v>
      </c>
      <c r="X25">
        <f>IF(ISNUMBER(SEARCH('1Př1'!$A$34,N25)),MAX($M$2:M24)+1,0)</f>
        <v>23</v>
      </c>
      <c r="Y25" s="325" t="s">
        <v>866</v>
      </c>
      <c r="Z25" t="str">
        <f>IFERROR(VLOOKUP(ROWS($Z$3:Z25),$X$3:$Y$992,2,0),"")</f>
        <v>Lov a odchyt divokých zvířat a související činnosti</v>
      </c>
    </row>
    <row r="26" spans="1:26" ht="12.75" customHeight="1">
      <c r="A26" s="301"/>
      <c r="B26" s="301"/>
      <c r="C26" s="301"/>
      <c r="D26" s="317">
        <f>IF(ISNUMBER(SEARCH(ZAKL_DATA!$B$14,E26)),MAX($D$2:D25)+1,0)</f>
        <v>24</v>
      </c>
      <c r="E26" s="330" t="s">
        <v>868</v>
      </c>
      <c r="F26" s="331">
        <v>2112</v>
      </c>
      <c r="G26" s="332"/>
      <c r="H26" s="333" t="str">
        <f>IFERROR(VLOOKUP(ROWS($H$3:H26),$D$3:$E$204,2,0),"")</f>
        <v>KRALUPY NAD VLTAVOU</v>
      </c>
      <c r="I26" s="301"/>
      <c r="J26" s="335" t="s">
        <v>869</v>
      </c>
      <c r="K26" s="323" t="s">
        <v>870</v>
      </c>
      <c r="M26" s="324">
        <f>IF(ISNUMBER(SEARCH(ZAKL_DATA!$B$29,N26)),MAX($M$2:M25)+1,0)</f>
        <v>24</v>
      </c>
      <c r="N26" s="325" t="s">
        <v>871</v>
      </c>
      <c r="O26" s="326" t="s">
        <v>872</v>
      </c>
      <c r="Q26" s="327" t="str">
        <f>IFERROR(VLOOKUP(ROWS($Q$3:Q26),$M$3:$N$992,2,0),"")</f>
        <v>Tisk a rozmnožování nahraných nosičů</v>
      </c>
      <c r="R26">
        <f>IF(ISNUMBER(SEARCH('1Př1'!$A$32,N26)),MAX($M$2:M25)+1,0)</f>
        <v>24</v>
      </c>
      <c r="S26" s="325" t="s">
        <v>871</v>
      </c>
      <c r="T26" t="str">
        <f>IFERROR(VLOOKUP(ROWS($T$3:T26),$R$3:$S$992,2,0),"")</f>
        <v>Tisk a rozmnožování nahraných nosičů</v>
      </c>
      <c r="U26">
        <f>IF(ISNUMBER(SEARCH('1Př1'!$A$33,N26)),MAX($M$2:M25)+1,0)</f>
        <v>24</v>
      </c>
      <c r="V26" s="325" t="s">
        <v>871</v>
      </c>
      <c r="W26" t="str">
        <f>IFERROR(VLOOKUP(ROWS($W$3:W26),$U$3:$V$992,2,0),"")</f>
        <v>Tisk a rozmnožování nahraných nosičů</v>
      </c>
      <c r="X26">
        <f>IF(ISNUMBER(SEARCH('1Př1'!$A$34,N26)),MAX($M$2:M25)+1,0)</f>
        <v>24</v>
      </c>
      <c r="Y26" s="325" t="s">
        <v>871</v>
      </c>
      <c r="Z26" t="str">
        <f>IFERROR(VLOOKUP(ROWS($Z$3:Z26),$X$3:$Y$992,2,0),"")</f>
        <v>Tisk a rozmnožování nahraných nosičů</v>
      </c>
    </row>
    <row r="27" spans="1:26" ht="12.75" customHeight="1">
      <c r="A27" s="301"/>
      <c r="B27" s="301"/>
      <c r="C27" s="301"/>
      <c r="D27" s="317">
        <f>IF(ISNUMBER(SEARCH(ZAKL_DATA!$B$14,E27)),MAX($D$2:D26)+1,0)</f>
        <v>25</v>
      </c>
      <c r="E27" s="330" t="s">
        <v>873</v>
      </c>
      <c r="F27" s="331">
        <v>2113</v>
      </c>
      <c r="G27" s="332"/>
      <c r="H27" s="333" t="str">
        <f>IFERROR(VLOOKUP(ROWS($H$3:H27),$D$3:$E$204,2,0),"")</f>
        <v>KUTNÁ HORA</v>
      </c>
      <c r="I27" s="301"/>
      <c r="J27" s="335" t="s">
        <v>874</v>
      </c>
      <c r="K27" s="323" t="s">
        <v>875</v>
      </c>
      <c r="M27" s="324">
        <f>IF(ISNUMBER(SEARCH(ZAKL_DATA!$B$29,N27)),MAX($M$2:M26)+1,0)</f>
        <v>25</v>
      </c>
      <c r="N27" s="325" t="s">
        <v>876</v>
      </c>
      <c r="O27" s="326" t="s">
        <v>877</v>
      </c>
      <c r="Q27" s="327" t="str">
        <f>IFERROR(VLOOKUP(ROWS($Q$3:Q27),$M$3:$N$992,2,0),"")</f>
        <v>Výroba koksu a rafinovaných ropných produktů</v>
      </c>
      <c r="R27">
        <f>IF(ISNUMBER(SEARCH('1Př1'!$A$32,N27)),MAX($M$2:M26)+1,0)</f>
        <v>25</v>
      </c>
      <c r="S27" s="325" t="s">
        <v>876</v>
      </c>
      <c r="T27" t="str">
        <f>IFERROR(VLOOKUP(ROWS($T$3:T27),$R$3:$S$992,2,0),"")</f>
        <v>Výroba koksu a rafinovaných ropných produktů</v>
      </c>
      <c r="U27">
        <f>IF(ISNUMBER(SEARCH('1Př1'!$A$33,N27)),MAX($M$2:M26)+1,0)</f>
        <v>25</v>
      </c>
      <c r="V27" s="325" t="s">
        <v>876</v>
      </c>
      <c r="W27" t="str">
        <f>IFERROR(VLOOKUP(ROWS($W$3:W27),$U$3:$V$992,2,0),"")</f>
        <v>Výroba koksu a rafinovaných ropných produktů</v>
      </c>
      <c r="X27">
        <f>IF(ISNUMBER(SEARCH('1Př1'!$A$34,N27)),MAX($M$2:M26)+1,0)</f>
        <v>25</v>
      </c>
      <c r="Y27" s="325" t="s">
        <v>876</v>
      </c>
      <c r="Z27" t="str">
        <f>IFERROR(VLOOKUP(ROWS($Z$3:Z27),$X$3:$Y$992,2,0),"")</f>
        <v>Výroba koksu a rafinovaných ropných produktů</v>
      </c>
    </row>
    <row r="28" spans="1:26" ht="12.75" customHeight="1">
      <c r="A28" s="301"/>
      <c r="B28" s="301"/>
      <c r="C28" s="301"/>
      <c r="D28" s="317">
        <f>IF(ISNUMBER(SEARCH(ZAKL_DATA!$B$14,E28)),MAX($D$2:D27)+1,0)</f>
        <v>26</v>
      </c>
      <c r="E28" s="330" t="s">
        <v>878</v>
      </c>
      <c r="F28" s="331">
        <v>2114</v>
      </c>
      <c r="G28" s="332"/>
      <c r="H28" s="333" t="str">
        <f>IFERROR(VLOOKUP(ROWS($H$3:H28),$D$3:$E$204,2,0),"")</f>
        <v>MĚLNÍK</v>
      </c>
      <c r="I28" s="301"/>
      <c r="J28" s="335" t="s">
        <v>879</v>
      </c>
      <c r="K28" s="323" t="s">
        <v>880</v>
      </c>
      <c r="M28" s="324">
        <f>IF(ISNUMBER(SEARCH(ZAKL_DATA!$B$29,N28)),MAX($M$2:M27)+1,0)</f>
        <v>26</v>
      </c>
      <c r="N28" s="325" t="s">
        <v>881</v>
      </c>
      <c r="O28" s="326" t="s">
        <v>882</v>
      </c>
      <c r="Q28" s="327" t="str">
        <f>IFERROR(VLOOKUP(ROWS($Q$3:Q28),$M$3:$N$992,2,0),"")</f>
        <v>Výroba chemických látek a chemických přípravků</v>
      </c>
      <c r="R28">
        <f>IF(ISNUMBER(SEARCH('1Př1'!$A$32,N28)),MAX($M$2:M27)+1,0)</f>
        <v>26</v>
      </c>
      <c r="S28" s="325" t="s">
        <v>881</v>
      </c>
      <c r="T28" t="str">
        <f>IFERROR(VLOOKUP(ROWS($T$3:T28),$R$3:$S$992,2,0),"")</f>
        <v>Výroba chemických látek a chemických přípravků</v>
      </c>
      <c r="U28">
        <f>IF(ISNUMBER(SEARCH('1Př1'!$A$33,N28)),MAX($M$2:M27)+1,0)</f>
        <v>26</v>
      </c>
      <c r="V28" s="325" t="s">
        <v>881</v>
      </c>
      <c r="W28" t="str">
        <f>IFERROR(VLOOKUP(ROWS($W$3:W28),$U$3:$V$992,2,0),"")</f>
        <v>Výroba chemických látek a chemických přípravků</v>
      </c>
      <c r="X28">
        <f>IF(ISNUMBER(SEARCH('1Př1'!$A$34,N28)),MAX($M$2:M27)+1,0)</f>
        <v>26</v>
      </c>
      <c r="Y28" s="325" t="s">
        <v>881</v>
      </c>
      <c r="Z28" t="str">
        <f>IFERROR(VLOOKUP(ROWS($Z$3:Z28),$X$3:$Y$992,2,0),"")</f>
        <v>Výroba chemických látek a chemických přípravků</v>
      </c>
    </row>
    <row r="29" spans="1:26" ht="12.75" customHeight="1">
      <c r="A29" s="301"/>
      <c r="B29" s="301"/>
      <c r="C29" s="301"/>
      <c r="D29" s="317">
        <f>IF(ISNUMBER(SEARCH(ZAKL_DATA!$B$14,E29)),MAX($D$2:D28)+1,0)</f>
        <v>27</v>
      </c>
      <c r="E29" s="330" t="s">
        <v>883</v>
      </c>
      <c r="F29" s="331">
        <v>2115</v>
      </c>
      <c r="G29" s="332"/>
      <c r="H29" s="333" t="str">
        <f>IFERROR(VLOOKUP(ROWS($H$3:H29),$D$3:$E$204,2,0),"")</f>
        <v>MLADÁ BOLESLAV</v>
      </c>
      <c r="I29" s="301"/>
      <c r="J29" s="335" t="s">
        <v>884</v>
      </c>
      <c r="K29" s="323" t="s">
        <v>885</v>
      </c>
      <c r="M29" s="324">
        <f>IF(ISNUMBER(SEARCH(ZAKL_DATA!$B$29,N29)),MAX($M$2:M28)+1,0)</f>
        <v>27</v>
      </c>
      <c r="N29" s="325" t="s">
        <v>886</v>
      </c>
      <c r="O29" s="326" t="s">
        <v>887</v>
      </c>
      <c r="Q29" s="327" t="str">
        <f>IFERROR(VLOOKUP(ROWS($Q$3:Q29),$M$3:$N$992,2,0),"")</f>
        <v>Výroba základních farmaceutických výrobků a farmaceutických přípravků</v>
      </c>
      <c r="R29">
        <f>IF(ISNUMBER(SEARCH('1Př1'!$A$32,N29)),MAX($M$2:M28)+1,0)</f>
        <v>27</v>
      </c>
      <c r="S29" s="325" t="s">
        <v>886</v>
      </c>
      <c r="T29" t="str">
        <f>IFERROR(VLOOKUP(ROWS($T$3:T29),$R$3:$S$992,2,0),"")</f>
        <v>Výroba základních farmaceutických výrobků a farmaceutických přípravků</v>
      </c>
      <c r="U29">
        <f>IF(ISNUMBER(SEARCH('1Př1'!$A$33,N29)),MAX($M$2:M28)+1,0)</f>
        <v>27</v>
      </c>
      <c r="V29" s="325" t="s">
        <v>886</v>
      </c>
      <c r="W29" t="str">
        <f>IFERROR(VLOOKUP(ROWS($W$3:W29),$U$3:$V$992,2,0),"")</f>
        <v>Výroba základních farmaceutických výrobků a farmaceutických přípravků</v>
      </c>
      <c r="X29">
        <f>IF(ISNUMBER(SEARCH('1Př1'!$A$34,N29)),MAX($M$2:M28)+1,0)</f>
        <v>27</v>
      </c>
      <c r="Y29" s="325" t="s">
        <v>886</v>
      </c>
      <c r="Z29" t="str">
        <f>IFERROR(VLOOKUP(ROWS($Z$3:Z29),$X$3:$Y$992,2,0),"")</f>
        <v>Výroba základních farmaceutických výrobků a farmaceutických přípravků</v>
      </c>
    </row>
    <row r="30" spans="1:26" ht="12.75" customHeight="1">
      <c r="A30" s="301"/>
      <c r="B30" s="301"/>
      <c r="C30" s="301"/>
      <c r="D30" s="317">
        <f>IF(ISNUMBER(SEARCH(ZAKL_DATA!$B$14,E30)),MAX($D$2:D29)+1,0)</f>
        <v>28</v>
      </c>
      <c r="E30" s="330" t="s">
        <v>888</v>
      </c>
      <c r="F30" s="331">
        <v>2116</v>
      </c>
      <c r="G30" s="332"/>
      <c r="H30" s="333" t="str">
        <f>IFERROR(VLOOKUP(ROWS($H$3:H30),$D$3:$E$204,2,0),"")</f>
        <v>MNICHOVO HRADIŠTĚ</v>
      </c>
      <c r="I30" s="301"/>
      <c r="J30" s="335" t="s">
        <v>889</v>
      </c>
      <c r="K30" s="323" t="s">
        <v>890</v>
      </c>
      <c r="M30" s="324">
        <f>IF(ISNUMBER(SEARCH(ZAKL_DATA!$B$29,N30)),MAX($M$2:M29)+1,0)</f>
        <v>28</v>
      </c>
      <c r="N30" s="325" t="s">
        <v>891</v>
      </c>
      <c r="O30" s="326" t="s">
        <v>892</v>
      </c>
      <c r="Q30" s="327" t="str">
        <f>IFERROR(VLOOKUP(ROWS($Q$3:Q30),$M$3:$N$992,2,0),"")</f>
        <v>Lesní hospodářství a jiné činnosti v oblasti lesnictví</v>
      </c>
      <c r="R30">
        <f>IF(ISNUMBER(SEARCH('1Př1'!$A$32,N30)),MAX($M$2:M29)+1,0)</f>
        <v>28</v>
      </c>
      <c r="S30" s="325" t="s">
        <v>891</v>
      </c>
      <c r="T30" t="str">
        <f>IFERROR(VLOOKUP(ROWS($T$3:T30),$R$3:$S$992,2,0),"")</f>
        <v>Lesní hospodářství a jiné činnosti v oblasti lesnictví</v>
      </c>
      <c r="U30">
        <f>IF(ISNUMBER(SEARCH('1Př1'!$A$33,N30)),MAX($M$2:M29)+1,0)</f>
        <v>28</v>
      </c>
      <c r="V30" s="325" t="s">
        <v>891</v>
      </c>
      <c r="W30" t="str">
        <f>IFERROR(VLOOKUP(ROWS($W$3:W30),$U$3:$V$992,2,0),"")</f>
        <v>Lesní hospodářství a jiné činnosti v oblasti lesnictví</v>
      </c>
      <c r="X30">
        <f>IF(ISNUMBER(SEARCH('1Př1'!$A$34,N30)),MAX($M$2:M29)+1,0)</f>
        <v>28</v>
      </c>
      <c r="Y30" s="325" t="s">
        <v>891</v>
      </c>
      <c r="Z30" t="str">
        <f>IFERROR(VLOOKUP(ROWS($Z$3:Z30),$X$3:$Y$992,2,0),"")</f>
        <v>Lesní hospodářství a jiné činnosti v oblasti lesnictví</v>
      </c>
    </row>
    <row r="31" spans="1:26" ht="12.75" customHeight="1">
      <c r="A31" s="301"/>
      <c r="B31" s="301"/>
      <c r="C31" s="301"/>
      <c r="D31" s="317">
        <f>IF(ISNUMBER(SEARCH(ZAKL_DATA!$B$14,E31)),MAX($D$2:D30)+1,0)</f>
        <v>29</v>
      </c>
      <c r="E31" s="330" t="s">
        <v>893</v>
      </c>
      <c r="F31" s="331">
        <v>2117</v>
      </c>
      <c r="G31" s="332"/>
      <c r="H31" s="333" t="str">
        <f>IFERROR(VLOOKUP(ROWS($H$3:H31),$D$3:$E$204,2,0),"")</f>
        <v>NERATOVICE</v>
      </c>
      <c r="I31" s="301"/>
      <c r="J31" s="335" t="s">
        <v>894</v>
      </c>
      <c r="K31" s="323" t="s">
        <v>895</v>
      </c>
      <c r="M31" s="324">
        <f>IF(ISNUMBER(SEARCH(ZAKL_DATA!$B$29,N31)),MAX($M$2:M30)+1,0)</f>
        <v>29</v>
      </c>
      <c r="N31" s="325" t="s">
        <v>896</v>
      </c>
      <c r="O31" s="326" t="s">
        <v>897</v>
      </c>
      <c r="Q31" s="327" t="str">
        <f>IFERROR(VLOOKUP(ROWS($Q$3:Q31),$M$3:$N$992,2,0),"")</f>
        <v>Výroba pryžových a plastových výrobků</v>
      </c>
      <c r="R31">
        <f>IF(ISNUMBER(SEARCH('1Př1'!$A$32,N31)),MAX($M$2:M30)+1,0)</f>
        <v>29</v>
      </c>
      <c r="S31" s="325" t="s">
        <v>896</v>
      </c>
      <c r="T31" t="str">
        <f>IFERROR(VLOOKUP(ROWS($T$3:T31),$R$3:$S$992,2,0),"")</f>
        <v>Výroba pryžových a plastových výrobků</v>
      </c>
      <c r="U31">
        <f>IF(ISNUMBER(SEARCH('1Př1'!$A$33,N31)),MAX($M$2:M30)+1,0)</f>
        <v>29</v>
      </c>
      <c r="V31" s="325" t="s">
        <v>896</v>
      </c>
      <c r="W31" t="str">
        <f>IFERROR(VLOOKUP(ROWS($W$3:W31),$U$3:$V$992,2,0),"")</f>
        <v>Výroba pryžových a plastových výrobků</v>
      </c>
      <c r="X31">
        <f>IF(ISNUMBER(SEARCH('1Př1'!$A$34,N31)),MAX($M$2:M30)+1,0)</f>
        <v>29</v>
      </c>
      <c r="Y31" s="325" t="s">
        <v>896</v>
      </c>
      <c r="Z31" t="str">
        <f>IFERROR(VLOOKUP(ROWS($Z$3:Z31),$X$3:$Y$992,2,0),"")</f>
        <v>Výroba pryžových a plastových výrobků</v>
      </c>
    </row>
    <row r="32" spans="1:26" ht="12.75" customHeight="1">
      <c r="A32" s="301"/>
      <c r="B32" s="301"/>
      <c r="C32" s="301"/>
      <c r="D32" s="317">
        <f>IF(ISNUMBER(SEARCH(ZAKL_DATA!$B$14,E32)),MAX($D$2:D31)+1,0)</f>
        <v>30</v>
      </c>
      <c r="E32" s="330" t="s">
        <v>898</v>
      </c>
      <c r="F32" s="331">
        <v>2118</v>
      </c>
      <c r="G32" s="332"/>
      <c r="H32" s="333" t="str">
        <f>IFERROR(VLOOKUP(ROWS($H$3:H32),$D$3:$E$204,2,0),"")</f>
        <v>NYMBURK</v>
      </c>
      <c r="I32" s="301"/>
      <c r="J32" s="335" t="s">
        <v>899</v>
      </c>
      <c r="K32" s="323" t="s">
        <v>900</v>
      </c>
      <c r="M32" s="324">
        <f>IF(ISNUMBER(SEARCH(ZAKL_DATA!$B$29,N32)),MAX($M$2:M31)+1,0)</f>
        <v>30</v>
      </c>
      <c r="N32" s="325" t="s">
        <v>901</v>
      </c>
      <c r="O32" s="326" t="s">
        <v>902</v>
      </c>
      <c r="Q32" s="327" t="str">
        <f>IFERROR(VLOOKUP(ROWS($Q$3:Q32),$M$3:$N$992,2,0),"")</f>
        <v>Těžba dřeva</v>
      </c>
      <c r="R32">
        <f>IF(ISNUMBER(SEARCH('1Př1'!$A$32,N32)),MAX($M$2:M31)+1,0)</f>
        <v>30</v>
      </c>
      <c r="S32" s="325" t="s">
        <v>901</v>
      </c>
      <c r="T32" t="str">
        <f>IFERROR(VLOOKUP(ROWS($T$3:T32),$R$3:$S$992,2,0),"")</f>
        <v>Těžba dřeva</v>
      </c>
      <c r="U32">
        <f>IF(ISNUMBER(SEARCH('1Př1'!$A$33,N32)),MAX($M$2:M31)+1,0)</f>
        <v>30</v>
      </c>
      <c r="V32" s="325" t="s">
        <v>901</v>
      </c>
      <c r="W32" t="str">
        <f>IFERROR(VLOOKUP(ROWS($W$3:W32),$U$3:$V$992,2,0),"")</f>
        <v>Těžba dřeva</v>
      </c>
      <c r="X32">
        <f>IF(ISNUMBER(SEARCH('1Př1'!$A$34,N32)),MAX($M$2:M31)+1,0)</f>
        <v>30</v>
      </c>
      <c r="Y32" s="325" t="s">
        <v>901</v>
      </c>
      <c r="Z32" t="str">
        <f>IFERROR(VLOOKUP(ROWS($Z$3:Z32),$X$3:$Y$992,2,0),"")</f>
        <v>Těžba dřeva</v>
      </c>
    </row>
    <row r="33" spans="1:26" ht="12.75" customHeight="1">
      <c r="A33" s="301"/>
      <c r="B33" s="301"/>
      <c r="C33" s="301"/>
      <c r="D33" s="317">
        <f>IF(ISNUMBER(SEARCH(ZAKL_DATA!$B$14,E33)),MAX($D$2:D32)+1,0)</f>
        <v>31</v>
      </c>
      <c r="E33" s="330" t="s">
        <v>903</v>
      </c>
      <c r="F33" s="331">
        <v>2119</v>
      </c>
      <c r="G33" s="332"/>
      <c r="H33" s="333" t="str">
        <f>IFERROR(VLOOKUP(ROWS($H$3:H33),$D$3:$E$204,2,0),"")</f>
        <v>PODĚBRADY</v>
      </c>
      <c r="I33" s="301"/>
      <c r="J33" s="335" t="s">
        <v>904</v>
      </c>
      <c r="K33" s="323" t="s">
        <v>905</v>
      </c>
      <c r="M33" s="324">
        <f>IF(ISNUMBER(SEARCH(ZAKL_DATA!$B$29,N33)),MAX($M$2:M32)+1,0)</f>
        <v>31</v>
      </c>
      <c r="N33" s="325" t="s">
        <v>906</v>
      </c>
      <c r="O33" s="326" t="s">
        <v>907</v>
      </c>
      <c r="Q33" s="327" t="str">
        <f>IFERROR(VLOOKUP(ROWS($Q$3:Q33),$M$3:$N$992,2,0),"")</f>
        <v>Výroba ostatních nekovových minerálních výrobků</v>
      </c>
      <c r="R33">
        <f>IF(ISNUMBER(SEARCH('1Př1'!$A$32,N33)),MAX($M$2:M32)+1,0)</f>
        <v>31</v>
      </c>
      <c r="S33" s="325" t="s">
        <v>906</v>
      </c>
      <c r="T33" t="str">
        <f>IFERROR(VLOOKUP(ROWS($T$3:T33),$R$3:$S$992,2,0),"")</f>
        <v>Výroba ostatních nekovových minerálních výrobků</v>
      </c>
      <c r="U33">
        <f>IF(ISNUMBER(SEARCH('1Př1'!$A$33,N33)),MAX($M$2:M32)+1,0)</f>
        <v>31</v>
      </c>
      <c r="V33" s="325" t="s">
        <v>906</v>
      </c>
      <c r="W33" t="str">
        <f>IFERROR(VLOOKUP(ROWS($W$3:W33),$U$3:$V$992,2,0),"")</f>
        <v>Výroba ostatních nekovových minerálních výrobků</v>
      </c>
      <c r="X33">
        <f>IF(ISNUMBER(SEARCH('1Př1'!$A$34,N33)),MAX($M$2:M32)+1,0)</f>
        <v>31</v>
      </c>
      <c r="Y33" s="325" t="s">
        <v>906</v>
      </c>
      <c r="Z33" t="str">
        <f>IFERROR(VLOOKUP(ROWS($Z$3:Z33),$X$3:$Y$992,2,0),"")</f>
        <v>Výroba ostatních nekovových minerálních výrobků</v>
      </c>
    </row>
    <row r="34" spans="1:26" ht="12.75" customHeight="1">
      <c r="A34" s="301"/>
      <c r="B34" s="301"/>
      <c r="C34" s="301"/>
      <c r="D34" s="317">
        <f>IF(ISNUMBER(SEARCH(ZAKL_DATA!$B$14,E34)),MAX($D$2:D33)+1,0)</f>
        <v>32</v>
      </c>
      <c r="E34" s="330" t="s">
        <v>908</v>
      </c>
      <c r="F34" s="331">
        <v>2120</v>
      </c>
      <c r="G34" s="332"/>
      <c r="H34" s="333" t="str">
        <f>IFERROR(VLOOKUP(ROWS($H$3:H34),$D$3:$E$204,2,0),"")</f>
        <v>PŘÍBRAM</v>
      </c>
      <c r="I34" s="301"/>
      <c r="J34" s="335" t="s">
        <v>909</v>
      </c>
      <c r="K34" s="323" t="s">
        <v>910</v>
      </c>
      <c r="M34" s="324">
        <f>IF(ISNUMBER(SEARCH(ZAKL_DATA!$B$29,N34)),MAX($M$2:M33)+1,0)</f>
        <v>32</v>
      </c>
      <c r="N34" s="325" t="s">
        <v>911</v>
      </c>
      <c r="O34" s="326" t="s">
        <v>912</v>
      </c>
      <c r="Q34" s="327" t="str">
        <f>IFERROR(VLOOKUP(ROWS($Q$3:Q34),$M$3:$N$992,2,0),"")</f>
        <v>Sběr a získávání volně rostoucích plodů a materiálů, kromě dřeva</v>
      </c>
      <c r="R34">
        <f>IF(ISNUMBER(SEARCH('1Př1'!$A$32,N34)),MAX($M$2:M33)+1,0)</f>
        <v>32</v>
      </c>
      <c r="S34" s="325" t="s">
        <v>911</v>
      </c>
      <c r="T34" t="str">
        <f>IFERROR(VLOOKUP(ROWS($T$3:T34),$R$3:$S$992,2,0),"")</f>
        <v>Sběr a získávání volně rostoucích plodů a materiálů, kromě dřeva</v>
      </c>
      <c r="U34">
        <f>IF(ISNUMBER(SEARCH('1Př1'!$A$33,N34)),MAX($M$2:M33)+1,0)</f>
        <v>32</v>
      </c>
      <c r="V34" s="325" t="s">
        <v>911</v>
      </c>
      <c r="W34" t="str">
        <f>IFERROR(VLOOKUP(ROWS($W$3:W34),$U$3:$V$992,2,0),"")</f>
        <v>Sběr a získávání volně rostoucích plodů a materiálů, kromě dřeva</v>
      </c>
      <c r="X34">
        <f>IF(ISNUMBER(SEARCH('1Př1'!$A$34,N34)),MAX($M$2:M33)+1,0)</f>
        <v>32</v>
      </c>
      <c r="Y34" s="325" t="s">
        <v>911</v>
      </c>
      <c r="Z34" t="str">
        <f>IFERROR(VLOOKUP(ROWS($Z$3:Z34),$X$3:$Y$992,2,0),"")</f>
        <v>Sběr a získávání volně rostoucích plodů a materiálů, kromě dřeva</v>
      </c>
    </row>
    <row r="35" spans="1:26" ht="12.75" customHeight="1">
      <c r="A35" s="301"/>
      <c r="B35" s="301"/>
      <c r="C35" s="301"/>
      <c r="D35" s="317">
        <f>IF(ISNUMBER(SEARCH(ZAKL_DATA!$B$14,E35)),MAX($D$2:D34)+1,0)</f>
        <v>33</v>
      </c>
      <c r="E35" s="330" t="s">
        <v>913</v>
      </c>
      <c r="F35" s="331">
        <v>2121</v>
      </c>
      <c r="G35" s="332"/>
      <c r="H35" s="333" t="str">
        <f>IFERROR(VLOOKUP(ROWS($H$3:H35),$D$3:$E$204,2,0),"")</f>
        <v>RAKOVNÍK</v>
      </c>
      <c r="I35" s="301"/>
      <c r="J35" s="335" t="s">
        <v>914</v>
      </c>
      <c r="K35" s="323" t="s">
        <v>915</v>
      </c>
      <c r="M35" s="324">
        <f>IF(ISNUMBER(SEARCH(ZAKL_DATA!$B$29,N35)),MAX($M$2:M34)+1,0)</f>
        <v>33</v>
      </c>
      <c r="N35" s="325" t="s">
        <v>916</v>
      </c>
      <c r="O35" s="326" t="s">
        <v>917</v>
      </c>
      <c r="Q35" s="327" t="str">
        <f>IFERROR(VLOOKUP(ROWS($Q$3:Q35),$M$3:$N$992,2,0),"")</f>
        <v>Výroba základních kovů, hutní zpracování kovů; slévárenství</v>
      </c>
      <c r="R35">
        <f>IF(ISNUMBER(SEARCH('1Př1'!$A$32,N35)),MAX($M$2:M34)+1,0)</f>
        <v>33</v>
      </c>
      <c r="S35" s="325" t="s">
        <v>916</v>
      </c>
      <c r="T35" t="str">
        <f>IFERROR(VLOOKUP(ROWS($T$3:T35),$R$3:$S$992,2,0),"")</f>
        <v>Výroba základních kovů, hutní zpracování kovů; slévárenství</v>
      </c>
      <c r="U35">
        <f>IF(ISNUMBER(SEARCH('1Př1'!$A$33,N35)),MAX($M$2:M34)+1,0)</f>
        <v>33</v>
      </c>
      <c r="V35" s="325" t="s">
        <v>916</v>
      </c>
      <c r="W35" t="str">
        <f>IFERROR(VLOOKUP(ROWS($W$3:W35),$U$3:$V$992,2,0),"")</f>
        <v>Výroba základních kovů, hutní zpracování kovů; slévárenství</v>
      </c>
      <c r="X35">
        <f>IF(ISNUMBER(SEARCH('1Př1'!$A$34,N35)),MAX($M$2:M34)+1,0)</f>
        <v>33</v>
      </c>
      <c r="Y35" s="325" t="s">
        <v>916</v>
      </c>
      <c r="Z35" t="str">
        <f>IFERROR(VLOOKUP(ROWS($Z$3:Z35),$X$3:$Y$992,2,0),"")</f>
        <v>Výroba základních kovů, hutní zpracování kovů; slévárenství</v>
      </c>
    </row>
    <row r="36" spans="1:26" ht="12.75" customHeight="1">
      <c r="A36" s="301"/>
      <c r="B36" s="301"/>
      <c r="C36" s="301"/>
      <c r="D36" s="317">
        <f>IF(ISNUMBER(SEARCH(ZAKL_DATA!$B$14,E36)),MAX($D$2:D35)+1,0)</f>
        <v>34</v>
      </c>
      <c r="E36" s="330" t="s">
        <v>918</v>
      </c>
      <c r="F36" s="331">
        <v>2122</v>
      </c>
      <c r="G36" s="332"/>
      <c r="H36" s="333" t="str">
        <f>IFERROR(VLOOKUP(ROWS($H$3:H36),$D$3:$E$204,2,0),"")</f>
        <v>ŘÍČANY</v>
      </c>
      <c r="I36" s="301"/>
      <c r="J36" s="335" t="s">
        <v>919</v>
      </c>
      <c r="K36" s="323" t="s">
        <v>920</v>
      </c>
      <c r="M36" s="324">
        <f>IF(ISNUMBER(SEARCH(ZAKL_DATA!$B$29,N36)),MAX($M$2:M35)+1,0)</f>
        <v>34</v>
      </c>
      <c r="N36" s="325" t="s">
        <v>921</v>
      </c>
      <c r="O36" s="326" t="s">
        <v>922</v>
      </c>
      <c r="Q36" s="327" t="str">
        <f>IFERROR(VLOOKUP(ROWS($Q$3:Q36),$M$3:$N$992,2,0),"")</f>
        <v>Podpůrné činnosti pro lesnictví</v>
      </c>
      <c r="R36">
        <f>IF(ISNUMBER(SEARCH('1Př1'!$A$32,N36)),MAX($M$2:M35)+1,0)</f>
        <v>34</v>
      </c>
      <c r="S36" s="325" t="s">
        <v>921</v>
      </c>
      <c r="T36" t="str">
        <f>IFERROR(VLOOKUP(ROWS($T$3:T36),$R$3:$S$992,2,0),"")</f>
        <v>Podpůrné činnosti pro lesnictví</v>
      </c>
      <c r="U36">
        <f>IF(ISNUMBER(SEARCH('1Př1'!$A$33,N36)),MAX($M$2:M35)+1,0)</f>
        <v>34</v>
      </c>
      <c r="V36" s="325" t="s">
        <v>921</v>
      </c>
      <c r="W36" t="str">
        <f>IFERROR(VLOOKUP(ROWS($W$3:W36),$U$3:$V$992,2,0),"")</f>
        <v>Podpůrné činnosti pro lesnictví</v>
      </c>
      <c r="X36">
        <f>IF(ISNUMBER(SEARCH('1Př1'!$A$34,N36)),MAX($M$2:M35)+1,0)</f>
        <v>34</v>
      </c>
      <c r="Y36" s="325" t="s">
        <v>921</v>
      </c>
      <c r="Z36" t="str">
        <f>IFERROR(VLOOKUP(ROWS($Z$3:Z36),$X$3:$Y$992,2,0),"")</f>
        <v>Podpůrné činnosti pro lesnictví</v>
      </c>
    </row>
    <row r="37" spans="1:26" ht="12.75" customHeight="1">
      <c r="A37" s="301"/>
      <c r="B37" s="301"/>
      <c r="C37" s="301"/>
      <c r="D37" s="317">
        <f>IF(ISNUMBER(SEARCH(ZAKL_DATA!$B$14,E37)),MAX($D$2:D36)+1,0)</f>
        <v>35</v>
      </c>
      <c r="E37" s="330" t="s">
        <v>923</v>
      </c>
      <c r="F37" s="331">
        <v>2123</v>
      </c>
      <c r="G37" s="332"/>
      <c r="H37" s="333" t="str">
        <f>IFERROR(VLOOKUP(ROWS($H$3:H37),$D$3:$E$204,2,0),"")</f>
        <v>SEDLČANY</v>
      </c>
      <c r="I37" s="301"/>
      <c r="J37" s="335" t="s">
        <v>924</v>
      </c>
      <c r="K37" s="323" t="s">
        <v>925</v>
      </c>
      <c r="M37" s="324">
        <f>IF(ISNUMBER(SEARCH(ZAKL_DATA!$B$29,N37)),MAX($M$2:M36)+1,0)</f>
        <v>35</v>
      </c>
      <c r="N37" s="325" t="s">
        <v>926</v>
      </c>
      <c r="O37" s="326" t="s">
        <v>927</v>
      </c>
      <c r="Q37" s="327" t="str">
        <f>IFERROR(VLOOKUP(ROWS($Q$3:Q37),$M$3:$N$992,2,0),"")</f>
        <v>Výroba kovových konstrukcí a kovodělných výrobků, kromě strojů a zařízení</v>
      </c>
      <c r="R37">
        <f>IF(ISNUMBER(SEARCH('1Př1'!$A$32,N37)),MAX($M$2:M36)+1,0)</f>
        <v>35</v>
      </c>
      <c r="S37" s="325" t="s">
        <v>926</v>
      </c>
      <c r="T37" t="str">
        <f>IFERROR(VLOOKUP(ROWS($T$3:T37),$R$3:$S$992,2,0),"")</f>
        <v>Výroba kovových konstrukcí a kovodělných výrobků, kromě strojů a zařízení</v>
      </c>
      <c r="U37">
        <f>IF(ISNUMBER(SEARCH('1Př1'!$A$33,N37)),MAX($M$2:M36)+1,0)</f>
        <v>35</v>
      </c>
      <c r="V37" s="325" t="s">
        <v>926</v>
      </c>
      <c r="W37" t="str">
        <f>IFERROR(VLOOKUP(ROWS($W$3:W37),$U$3:$V$992,2,0),"")</f>
        <v>Výroba kovových konstrukcí a kovodělných výrobků, kromě strojů a zařízení</v>
      </c>
      <c r="X37">
        <f>IF(ISNUMBER(SEARCH('1Př1'!$A$34,N37)),MAX($M$2:M36)+1,0)</f>
        <v>35</v>
      </c>
      <c r="Y37" s="325" t="s">
        <v>926</v>
      </c>
      <c r="Z37" t="str">
        <f>IFERROR(VLOOKUP(ROWS($Z$3:Z37),$X$3:$Y$992,2,0),"")</f>
        <v>Výroba kovových konstrukcí a kovodělných výrobků, kromě strojů a zařízení</v>
      </c>
    </row>
    <row r="38" spans="1:26" ht="12.75" customHeight="1">
      <c r="A38" s="301"/>
      <c r="B38" s="301"/>
      <c r="C38" s="301"/>
      <c r="D38" s="317">
        <f>IF(ISNUMBER(SEARCH(ZAKL_DATA!$B$14,E38)),MAX($D$2:D37)+1,0)</f>
        <v>36</v>
      </c>
      <c r="E38" s="330" t="s">
        <v>928</v>
      </c>
      <c r="F38" s="331">
        <v>2124</v>
      </c>
      <c r="G38" s="332"/>
      <c r="H38" s="333" t="str">
        <f>IFERROR(VLOOKUP(ROWS($H$3:H38),$D$3:$E$204,2,0),"")</f>
        <v>SLANÝ</v>
      </c>
      <c r="I38" s="301"/>
      <c r="J38" s="335" t="s">
        <v>929</v>
      </c>
      <c r="K38" s="323" t="s">
        <v>930</v>
      </c>
      <c r="M38" s="324">
        <f>IF(ISNUMBER(SEARCH(ZAKL_DATA!$B$29,N38)),MAX($M$2:M37)+1,0)</f>
        <v>36</v>
      </c>
      <c r="N38" s="325" t="s">
        <v>931</v>
      </c>
      <c r="O38" s="326" t="s">
        <v>932</v>
      </c>
      <c r="Q38" s="327" t="str">
        <f>IFERROR(VLOOKUP(ROWS($Q$3:Q38),$M$3:$N$992,2,0),"")</f>
        <v>Výroba počítačů, elektronických a optických přístrojů a zařízení</v>
      </c>
      <c r="R38">
        <f>IF(ISNUMBER(SEARCH('1Př1'!$A$32,N38)),MAX($M$2:M37)+1,0)</f>
        <v>36</v>
      </c>
      <c r="S38" s="325" t="s">
        <v>931</v>
      </c>
      <c r="T38" t="str">
        <f>IFERROR(VLOOKUP(ROWS($T$3:T38),$R$3:$S$992,2,0),"")</f>
        <v>Výroba počítačů, elektronických a optických přístrojů a zařízení</v>
      </c>
      <c r="U38">
        <f>IF(ISNUMBER(SEARCH('1Př1'!$A$33,N38)),MAX($M$2:M37)+1,0)</f>
        <v>36</v>
      </c>
      <c r="V38" s="325" t="s">
        <v>931</v>
      </c>
      <c r="W38" t="str">
        <f>IFERROR(VLOOKUP(ROWS($W$3:W38),$U$3:$V$992,2,0),"")</f>
        <v>Výroba počítačů, elektronických a optických přístrojů a zařízení</v>
      </c>
      <c r="X38">
        <f>IF(ISNUMBER(SEARCH('1Př1'!$A$34,N38)),MAX($M$2:M37)+1,0)</f>
        <v>36</v>
      </c>
      <c r="Y38" s="325" t="s">
        <v>931</v>
      </c>
      <c r="Z38" t="str">
        <f>IFERROR(VLOOKUP(ROWS($Z$3:Z38),$X$3:$Y$992,2,0),"")</f>
        <v>Výroba počítačů, elektronických a optických přístrojů a zařízení</v>
      </c>
    </row>
    <row r="39" spans="1:26" ht="12.75" customHeight="1">
      <c r="A39" s="301"/>
      <c r="B39" s="301"/>
      <c r="C39" s="301"/>
      <c r="D39" s="317">
        <f>IF(ISNUMBER(SEARCH(ZAKL_DATA!$B$14,E39)),MAX($D$2:D38)+1,0)</f>
        <v>37</v>
      </c>
      <c r="E39" s="330" t="s">
        <v>933</v>
      </c>
      <c r="F39" s="331">
        <v>2125</v>
      </c>
      <c r="G39" s="332"/>
      <c r="H39" s="333" t="str">
        <f>IFERROR(VLOOKUP(ROWS($H$3:H39),$D$3:$E$204,2,0),"")</f>
        <v>VLAŠIM</v>
      </c>
      <c r="I39" s="301"/>
      <c r="J39" s="335" t="s">
        <v>934</v>
      </c>
      <c r="K39" s="323" t="s">
        <v>935</v>
      </c>
      <c r="M39" s="324">
        <f>IF(ISNUMBER(SEARCH(ZAKL_DATA!$B$29,N39)),MAX($M$2:M38)+1,0)</f>
        <v>37</v>
      </c>
      <c r="N39" s="325" t="s">
        <v>936</v>
      </c>
      <c r="O39" s="326" t="s">
        <v>937</v>
      </c>
      <c r="Q39" s="327" t="str">
        <f>IFERROR(VLOOKUP(ROWS($Q$3:Q39),$M$3:$N$992,2,0),"")</f>
        <v>Výroba elektrických zařízení</v>
      </c>
      <c r="R39">
        <f>IF(ISNUMBER(SEARCH('1Př1'!$A$32,N39)),MAX($M$2:M38)+1,0)</f>
        <v>37</v>
      </c>
      <c r="S39" s="325" t="s">
        <v>936</v>
      </c>
      <c r="T39" t="str">
        <f>IFERROR(VLOOKUP(ROWS($T$3:T39),$R$3:$S$992,2,0),"")</f>
        <v>Výroba elektrických zařízení</v>
      </c>
      <c r="U39">
        <f>IF(ISNUMBER(SEARCH('1Př1'!$A$33,N39)),MAX($M$2:M38)+1,0)</f>
        <v>37</v>
      </c>
      <c r="V39" s="325" t="s">
        <v>936</v>
      </c>
      <c r="W39" t="str">
        <f>IFERROR(VLOOKUP(ROWS($W$3:W39),$U$3:$V$992,2,0),"")</f>
        <v>Výroba elektrických zařízení</v>
      </c>
      <c r="X39">
        <f>IF(ISNUMBER(SEARCH('1Př1'!$A$34,N39)),MAX($M$2:M38)+1,0)</f>
        <v>37</v>
      </c>
      <c r="Y39" s="325" t="s">
        <v>936</v>
      </c>
      <c r="Z39" t="str">
        <f>IFERROR(VLOOKUP(ROWS($Z$3:Z39),$X$3:$Y$992,2,0),"")</f>
        <v>Výroba elektrických zařízení</v>
      </c>
    </row>
    <row r="40" spans="1:26" ht="12.75" customHeight="1">
      <c r="A40" s="301"/>
      <c r="B40" s="301"/>
      <c r="C40" s="301"/>
      <c r="D40" s="317">
        <f>IF(ISNUMBER(SEARCH(ZAKL_DATA!$B$14,E40)),MAX($D$2:D39)+1,0)</f>
        <v>38</v>
      </c>
      <c r="E40" s="330" t="s">
        <v>938</v>
      </c>
      <c r="F40" s="331">
        <v>2126</v>
      </c>
      <c r="G40" s="332"/>
      <c r="H40" s="333" t="str">
        <f>IFERROR(VLOOKUP(ROWS($H$3:H40),$D$3:$E$204,2,0),"")</f>
        <v>VOTICE</v>
      </c>
      <c r="I40" s="301"/>
      <c r="J40" s="335" t="s">
        <v>939</v>
      </c>
      <c r="K40" s="323" t="s">
        <v>940</v>
      </c>
      <c r="M40" s="324">
        <f>IF(ISNUMBER(SEARCH(ZAKL_DATA!$B$29,N40)),MAX($M$2:M39)+1,0)</f>
        <v>38</v>
      </c>
      <c r="N40" s="325" t="s">
        <v>941</v>
      </c>
      <c r="O40" s="326" t="s">
        <v>942</v>
      </c>
      <c r="Q40" s="327" t="str">
        <f>IFERROR(VLOOKUP(ROWS($Q$3:Q40),$M$3:$N$992,2,0),"")</f>
        <v>Výroba strojů a zařízení j. n.</v>
      </c>
      <c r="R40">
        <f>IF(ISNUMBER(SEARCH('1Př1'!$A$32,N40)),MAX($M$2:M39)+1,0)</f>
        <v>38</v>
      </c>
      <c r="S40" s="325" t="s">
        <v>941</v>
      </c>
      <c r="T40" t="str">
        <f>IFERROR(VLOOKUP(ROWS($T$3:T40),$R$3:$S$992,2,0),"")</f>
        <v>Výroba strojů a zařízení j. n.</v>
      </c>
      <c r="U40">
        <f>IF(ISNUMBER(SEARCH('1Př1'!$A$33,N40)),MAX($M$2:M39)+1,0)</f>
        <v>38</v>
      </c>
      <c r="V40" s="325" t="s">
        <v>941</v>
      </c>
      <c r="W40" t="str">
        <f>IFERROR(VLOOKUP(ROWS($W$3:W40),$U$3:$V$992,2,0),"")</f>
        <v>Výroba strojů a zařízení j. n.</v>
      </c>
      <c r="X40">
        <f>IF(ISNUMBER(SEARCH('1Př1'!$A$34,N40)),MAX($M$2:M39)+1,0)</f>
        <v>38</v>
      </c>
      <c r="Y40" s="325" t="s">
        <v>941</v>
      </c>
      <c r="Z40" t="str">
        <f>IFERROR(VLOOKUP(ROWS($Z$3:Z40),$X$3:$Y$992,2,0),"")</f>
        <v>Výroba strojů a zařízení j. n.</v>
      </c>
    </row>
    <row r="41" spans="1:26" ht="12.75" customHeight="1">
      <c r="A41" s="301"/>
      <c r="B41" s="301"/>
      <c r="C41" s="301"/>
      <c r="D41" s="317">
        <f>IF(ISNUMBER(SEARCH(ZAKL_DATA!$B$14,E41)),MAX($D$2:D40)+1,0)</f>
        <v>39</v>
      </c>
      <c r="E41" s="330" t="s">
        <v>943</v>
      </c>
      <c r="F41" s="331">
        <v>2201</v>
      </c>
      <c r="G41" s="332"/>
      <c r="H41" s="333" t="str">
        <f>IFERROR(VLOOKUP(ROWS($H$3:H41),$D$3:$E$204,2,0),"")</f>
        <v>ČESKÉ BUDĚJOVICE</v>
      </c>
      <c r="I41" s="301"/>
      <c r="J41" s="335" t="s">
        <v>944</v>
      </c>
      <c r="K41" s="323" t="s">
        <v>945</v>
      </c>
      <c r="M41" s="324">
        <f>IF(ISNUMBER(SEARCH(ZAKL_DATA!$B$29,N41)),MAX($M$2:M40)+1,0)</f>
        <v>39</v>
      </c>
      <c r="N41" s="325" t="s">
        <v>946</v>
      </c>
      <c r="O41" s="326" t="s">
        <v>947</v>
      </c>
      <c r="Q41" s="327" t="str">
        <f>IFERROR(VLOOKUP(ROWS($Q$3:Q41),$M$3:$N$992,2,0),"")</f>
        <v>Výroba motorových vozidel (kromě motocyklů), přívěsů a návěsů</v>
      </c>
      <c r="R41">
        <f>IF(ISNUMBER(SEARCH('1Př1'!$A$32,N41)),MAX($M$2:M40)+1,0)</f>
        <v>39</v>
      </c>
      <c r="S41" s="325" t="s">
        <v>946</v>
      </c>
      <c r="T41" t="str">
        <f>IFERROR(VLOOKUP(ROWS($T$3:T41),$R$3:$S$992,2,0),"")</f>
        <v>Výroba motorových vozidel (kromě motocyklů), přívěsů a návěsů</v>
      </c>
      <c r="U41">
        <f>IF(ISNUMBER(SEARCH('1Př1'!$A$33,N41)),MAX($M$2:M40)+1,0)</f>
        <v>39</v>
      </c>
      <c r="V41" s="325" t="s">
        <v>946</v>
      </c>
      <c r="W41" t="str">
        <f>IFERROR(VLOOKUP(ROWS($W$3:W41),$U$3:$V$992,2,0),"")</f>
        <v>Výroba motorových vozidel (kromě motocyklů), přívěsů a návěsů</v>
      </c>
      <c r="X41">
        <f>IF(ISNUMBER(SEARCH('1Př1'!$A$34,N41)),MAX($M$2:M40)+1,0)</f>
        <v>39</v>
      </c>
      <c r="Y41" s="325" t="s">
        <v>946</v>
      </c>
      <c r="Z41" t="str">
        <f>IFERROR(VLOOKUP(ROWS($Z$3:Z41),$X$3:$Y$992,2,0),"")</f>
        <v>Výroba motorových vozidel (kromě motocyklů), přívěsů a návěsů</v>
      </c>
    </row>
    <row r="42" spans="1:26" ht="12.75" customHeight="1">
      <c r="A42" s="301"/>
      <c r="B42" s="301"/>
      <c r="C42" s="301"/>
      <c r="D42" s="317">
        <f>IF(ISNUMBER(SEARCH(ZAKL_DATA!$B$14,E42)),MAX($D$2:D41)+1,0)</f>
        <v>40</v>
      </c>
      <c r="E42" s="330" t="s">
        <v>948</v>
      </c>
      <c r="F42" s="331">
        <v>2202</v>
      </c>
      <c r="G42" s="332"/>
      <c r="H42" s="333" t="str">
        <f>IFERROR(VLOOKUP(ROWS($H$3:H42),$D$3:$E$204,2,0),"")</f>
        <v>BLATNÁ</v>
      </c>
      <c r="I42" s="301"/>
      <c r="J42" s="335" t="s">
        <v>949</v>
      </c>
      <c r="K42" s="323" t="s">
        <v>950</v>
      </c>
      <c r="M42" s="324">
        <f>IF(ISNUMBER(SEARCH(ZAKL_DATA!$B$29,N42)),MAX($M$2:M41)+1,0)</f>
        <v>40</v>
      </c>
      <c r="N42" s="325" t="s">
        <v>951</v>
      </c>
      <c r="O42" s="326" t="s">
        <v>952</v>
      </c>
      <c r="Q42" s="327" t="str">
        <f>IFERROR(VLOOKUP(ROWS($Q$3:Q42),$M$3:$N$992,2,0),"")</f>
        <v>Výroba ostatních dopravních prostředků a zařízení</v>
      </c>
      <c r="R42">
        <f>IF(ISNUMBER(SEARCH('1Př1'!$A$32,N42)),MAX($M$2:M41)+1,0)</f>
        <v>40</v>
      </c>
      <c r="S42" s="325" t="s">
        <v>951</v>
      </c>
      <c r="T42" t="str">
        <f>IFERROR(VLOOKUP(ROWS($T$3:T42),$R$3:$S$992,2,0),"")</f>
        <v>Výroba ostatních dopravních prostředků a zařízení</v>
      </c>
      <c r="U42">
        <f>IF(ISNUMBER(SEARCH('1Př1'!$A$33,N42)),MAX($M$2:M41)+1,0)</f>
        <v>40</v>
      </c>
      <c r="V42" s="325" t="s">
        <v>951</v>
      </c>
      <c r="W42" t="str">
        <f>IFERROR(VLOOKUP(ROWS($W$3:W42),$U$3:$V$992,2,0),"")</f>
        <v>Výroba ostatních dopravních prostředků a zařízení</v>
      </c>
      <c r="X42">
        <f>IF(ISNUMBER(SEARCH('1Př1'!$A$34,N42)),MAX($M$2:M41)+1,0)</f>
        <v>40</v>
      </c>
      <c r="Y42" s="325" t="s">
        <v>951</v>
      </c>
      <c r="Z42" t="str">
        <f>IFERROR(VLOOKUP(ROWS($Z$3:Z42),$X$3:$Y$992,2,0),"")</f>
        <v>Výroba ostatních dopravních prostředků a zařízení</v>
      </c>
    </row>
    <row r="43" spans="1:26" ht="12.75" customHeight="1">
      <c r="A43" s="301"/>
      <c r="B43" s="301"/>
      <c r="C43" s="301"/>
      <c r="D43" s="317">
        <f>IF(ISNUMBER(SEARCH(ZAKL_DATA!$B$14,E43)),MAX($D$2:D42)+1,0)</f>
        <v>41</v>
      </c>
      <c r="E43" s="330" t="s">
        <v>953</v>
      </c>
      <c r="F43" s="331">
        <v>2203</v>
      </c>
      <c r="G43" s="332"/>
      <c r="H43" s="333" t="str">
        <f>IFERROR(VLOOKUP(ROWS($H$3:H43),$D$3:$E$204,2,0),"")</f>
        <v>ČESKÝ KRUMLOV</v>
      </c>
      <c r="I43" s="301"/>
      <c r="J43" s="335" t="s">
        <v>954</v>
      </c>
      <c r="K43" s="323" t="s">
        <v>955</v>
      </c>
      <c r="M43" s="324">
        <f>IF(ISNUMBER(SEARCH(ZAKL_DATA!$B$29,N43)),MAX($M$2:M42)+1,0)</f>
        <v>41</v>
      </c>
      <c r="N43" s="325" t="s">
        <v>956</v>
      </c>
      <c r="O43" s="326" t="s">
        <v>957</v>
      </c>
      <c r="Q43" s="327" t="str">
        <f>IFERROR(VLOOKUP(ROWS($Q$3:Q43),$M$3:$N$992,2,0),"")</f>
        <v>Výroba nábytku</v>
      </c>
      <c r="R43">
        <f>IF(ISNUMBER(SEARCH('1Př1'!$A$32,N43)),MAX($M$2:M42)+1,0)</f>
        <v>41</v>
      </c>
      <c r="S43" s="325" t="s">
        <v>956</v>
      </c>
      <c r="T43" t="str">
        <f>IFERROR(VLOOKUP(ROWS($T$3:T43),$R$3:$S$992,2,0),"")</f>
        <v>Výroba nábytku</v>
      </c>
      <c r="U43">
        <f>IF(ISNUMBER(SEARCH('1Př1'!$A$33,N43)),MAX($M$2:M42)+1,0)</f>
        <v>41</v>
      </c>
      <c r="V43" s="325" t="s">
        <v>956</v>
      </c>
      <c r="W43" t="str">
        <f>IFERROR(VLOOKUP(ROWS($W$3:W43),$U$3:$V$992,2,0),"")</f>
        <v>Výroba nábytku</v>
      </c>
      <c r="X43">
        <f>IF(ISNUMBER(SEARCH('1Př1'!$A$34,N43)),MAX($M$2:M42)+1,0)</f>
        <v>41</v>
      </c>
      <c r="Y43" s="325" t="s">
        <v>956</v>
      </c>
      <c r="Z43" t="str">
        <f>IFERROR(VLOOKUP(ROWS($Z$3:Z43),$X$3:$Y$992,2,0),"")</f>
        <v>Výroba nábytku</v>
      </c>
    </row>
    <row r="44" spans="1:26" ht="12.75" customHeight="1">
      <c r="A44" s="301"/>
      <c r="B44" s="301"/>
      <c r="C44" s="301"/>
      <c r="D44" s="317">
        <f>IF(ISNUMBER(SEARCH(ZAKL_DATA!$B$14,E44)),MAX($D$2:D43)+1,0)</f>
        <v>42</v>
      </c>
      <c r="E44" s="330" t="s">
        <v>958</v>
      </c>
      <c r="F44" s="331">
        <v>2204</v>
      </c>
      <c r="G44" s="332"/>
      <c r="H44" s="333" t="str">
        <f>IFERROR(VLOOKUP(ROWS($H$3:H44),$D$3:$E$204,2,0),"")</f>
        <v>DAČICE</v>
      </c>
      <c r="I44" s="301"/>
      <c r="J44" s="335" t="s">
        <v>959</v>
      </c>
      <c r="K44" s="323" t="s">
        <v>960</v>
      </c>
      <c r="M44" s="324">
        <f>IF(ISNUMBER(SEARCH(ZAKL_DATA!$B$29,N44)),MAX($M$2:M43)+1,0)</f>
        <v>42</v>
      </c>
      <c r="N44" s="325" t="s">
        <v>961</v>
      </c>
      <c r="O44" s="326" t="s">
        <v>962</v>
      </c>
      <c r="Q44" s="327" t="str">
        <f>IFERROR(VLOOKUP(ROWS($Q$3:Q44),$M$3:$N$992,2,0),"")</f>
        <v>Rybolov</v>
      </c>
      <c r="R44">
        <f>IF(ISNUMBER(SEARCH('1Př1'!$A$32,N44)),MAX($M$2:M43)+1,0)</f>
        <v>42</v>
      </c>
      <c r="S44" s="325" t="s">
        <v>961</v>
      </c>
      <c r="T44" t="str">
        <f>IFERROR(VLOOKUP(ROWS($T$3:T44),$R$3:$S$992,2,0),"")</f>
        <v>Rybolov</v>
      </c>
      <c r="U44">
        <f>IF(ISNUMBER(SEARCH('1Př1'!$A$33,N44)),MAX($M$2:M43)+1,0)</f>
        <v>42</v>
      </c>
      <c r="V44" s="325" t="s">
        <v>961</v>
      </c>
      <c r="W44" t="str">
        <f>IFERROR(VLOOKUP(ROWS($W$3:W44),$U$3:$V$992,2,0),"")</f>
        <v>Rybolov</v>
      </c>
      <c r="X44">
        <f>IF(ISNUMBER(SEARCH('1Př1'!$A$34,N44)),MAX($M$2:M43)+1,0)</f>
        <v>42</v>
      </c>
      <c r="Y44" s="325" t="s">
        <v>961</v>
      </c>
      <c r="Z44" t="str">
        <f>IFERROR(VLOOKUP(ROWS($Z$3:Z44),$X$3:$Y$992,2,0),"")</f>
        <v>Rybolov</v>
      </c>
    </row>
    <row r="45" spans="1:26" ht="12.75" customHeight="1">
      <c r="A45" s="301"/>
      <c r="B45" s="301"/>
      <c r="C45" s="301"/>
      <c r="D45" s="317">
        <f>IF(ISNUMBER(SEARCH(ZAKL_DATA!$B$14,E45)),MAX($D$2:D44)+1,0)</f>
        <v>43</v>
      </c>
      <c r="E45" s="330" t="s">
        <v>963</v>
      </c>
      <c r="F45" s="331">
        <v>2205</v>
      </c>
      <c r="G45" s="332"/>
      <c r="H45" s="333" t="str">
        <f>IFERROR(VLOOKUP(ROWS($H$3:H45),$D$3:$E$204,2,0),"")</f>
        <v>JINDŘICHŮV HRADEC</v>
      </c>
      <c r="I45" s="301"/>
      <c r="J45" s="334" t="s">
        <v>964</v>
      </c>
      <c r="K45" s="323" t="s">
        <v>965</v>
      </c>
      <c r="M45" s="324">
        <f>IF(ISNUMBER(SEARCH(ZAKL_DATA!$B$29,N45)),MAX($M$2:M44)+1,0)</f>
        <v>43</v>
      </c>
      <c r="N45" s="325" t="s">
        <v>966</v>
      </c>
      <c r="O45" s="326" t="s">
        <v>967</v>
      </c>
      <c r="Q45" s="327" t="str">
        <f>IFERROR(VLOOKUP(ROWS($Q$3:Q45),$M$3:$N$992,2,0),"")</f>
        <v>Ostatní zpracovatelský průmysl</v>
      </c>
      <c r="R45">
        <f>IF(ISNUMBER(SEARCH('1Př1'!$A$32,N45)),MAX($M$2:M44)+1,0)</f>
        <v>43</v>
      </c>
      <c r="S45" s="325" t="s">
        <v>966</v>
      </c>
      <c r="T45" t="str">
        <f>IFERROR(VLOOKUP(ROWS($T$3:T45),$R$3:$S$992,2,0),"")</f>
        <v>Ostatní zpracovatelský průmysl</v>
      </c>
      <c r="U45">
        <f>IF(ISNUMBER(SEARCH('1Př1'!$A$33,N45)),MAX($M$2:M44)+1,0)</f>
        <v>43</v>
      </c>
      <c r="V45" s="325" t="s">
        <v>966</v>
      </c>
      <c r="W45" t="str">
        <f>IFERROR(VLOOKUP(ROWS($W$3:W45),$U$3:$V$992,2,0),"")</f>
        <v>Ostatní zpracovatelský průmysl</v>
      </c>
      <c r="X45">
        <f>IF(ISNUMBER(SEARCH('1Př1'!$A$34,N45)),MAX($M$2:M44)+1,0)</f>
        <v>43</v>
      </c>
      <c r="Y45" s="325" t="s">
        <v>966</v>
      </c>
      <c r="Z45" t="str">
        <f>IFERROR(VLOOKUP(ROWS($Z$3:Z45),$X$3:$Y$992,2,0),"")</f>
        <v>Ostatní zpracovatelský průmysl</v>
      </c>
    </row>
    <row r="46" spans="1:26" ht="12.75" customHeight="1">
      <c r="A46" s="301"/>
      <c r="B46" s="301"/>
      <c r="C46" s="301"/>
      <c r="D46" s="317">
        <f>IF(ISNUMBER(SEARCH(ZAKL_DATA!$B$14,E46)),MAX($D$2:D45)+1,0)</f>
        <v>44</v>
      </c>
      <c r="E46" s="330" t="s">
        <v>968</v>
      </c>
      <c r="F46" s="331">
        <v>2206</v>
      </c>
      <c r="G46" s="332"/>
      <c r="H46" s="333" t="str">
        <f>IFERROR(VLOOKUP(ROWS($H$3:H46),$D$3:$E$204,2,0),"")</f>
        <v>KAPLICE</v>
      </c>
      <c r="I46" s="301"/>
      <c r="J46" s="335" t="s">
        <v>969</v>
      </c>
      <c r="K46" s="323" t="s">
        <v>167</v>
      </c>
      <c r="M46" s="324">
        <f>IF(ISNUMBER(SEARCH(ZAKL_DATA!$B$29,N46)),MAX($M$2:M45)+1,0)</f>
        <v>44</v>
      </c>
      <c r="N46" s="325" t="s">
        <v>970</v>
      </c>
      <c r="O46" s="326" t="s">
        <v>971</v>
      </c>
      <c r="Q46" s="327" t="str">
        <f>IFERROR(VLOOKUP(ROWS($Q$3:Q46),$M$3:$N$992,2,0),"")</f>
        <v>Akvakultura</v>
      </c>
      <c r="R46">
        <f>IF(ISNUMBER(SEARCH('1Př1'!$A$32,N46)),MAX($M$2:M45)+1,0)</f>
        <v>44</v>
      </c>
      <c r="S46" s="325" t="s">
        <v>970</v>
      </c>
      <c r="T46" t="str">
        <f>IFERROR(VLOOKUP(ROWS($T$3:T46),$R$3:$S$992,2,0),"")</f>
        <v>Akvakultura</v>
      </c>
      <c r="U46">
        <f>IF(ISNUMBER(SEARCH('1Př1'!$A$33,N46)),MAX($M$2:M45)+1,0)</f>
        <v>44</v>
      </c>
      <c r="V46" s="325" t="s">
        <v>970</v>
      </c>
      <c r="W46" t="str">
        <f>IFERROR(VLOOKUP(ROWS($W$3:W46),$U$3:$V$992,2,0),"")</f>
        <v>Akvakultura</v>
      </c>
      <c r="X46">
        <f>IF(ISNUMBER(SEARCH('1Př1'!$A$34,N46)),MAX($M$2:M45)+1,0)</f>
        <v>44</v>
      </c>
      <c r="Y46" s="325" t="s">
        <v>970</v>
      </c>
      <c r="Z46" t="str">
        <f>IFERROR(VLOOKUP(ROWS($Z$3:Z46),$X$3:$Y$992,2,0),"")</f>
        <v>Akvakultura</v>
      </c>
    </row>
    <row r="47" spans="1:26" ht="12.75" customHeight="1">
      <c r="A47" s="301"/>
      <c r="B47" s="301"/>
      <c r="C47" s="301"/>
      <c r="D47" s="317">
        <f>IF(ISNUMBER(SEARCH(ZAKL_DATA!$B$14,E47)),MAX($D$2:D46)+1,0)</f>
        <v>45</v>
      </c>
      <c r="E47" s="330" t="s">
        <v>972</v>
      </c>
      <c r="F47" s="331">
        <v>2207</v>
      </c>
      <c r="G47" s="332"/>
      <c r="H47" s="333" t="str">
        <f>IFERROR(VLOOKUP(ROWS($H$3:H47),$D$3:$E$204,2,0),"")</f>
        <v>MILEVSKO</v>
      </c>
      <c r="I47" s="301"/>
      <c r="J47" s="335" t="s">
        <v>973</v>
      </c>
      <c r="K47" s="323" t="s">
        <v>974</v>
      </c>
      <c r="M47" s="324">
        <f>IF(ISNUMBER(SEARCH(ZAKL_DATA!$B$29,N47)),MAX($M$2:M46)+1,0)</f>
        <v>45</v>
      </c>
      <c r="N47" s="325" t="s">
        <v>975</v>
      </c>
      <c r="O47" s="326" t="s">
        <v>976</v>
      </c>
      <c r="Q47" s="327" t="str">
        <f>IFERROR(VLOOKUP(ROWS($Q$3:Q47),$M$3:$N$992,2,0),"")</f>
        <v>Opravy a instalace strojů a zařízení</v>
      </c>
      <c r="R47">
        <f>IF(ISNUMBER(SEARCH('1Př1'!$A$32,N47)),MAX($M$2:M46)+1,0)</f>
        <v>45</v>
      </c>
      <c r="S47" s="325" t="s">
        <v>975</v>
      </c>
      <c r="T47" t="str">
        <f>IFERROR(VLOOKUP(ROWS($T$3:T47),$R$3:$S$992,2,0),"")</f>
        <v>Opravy a instalace strojů a zařízení</v>
      </c>
      <c r="U47">
        <f>IF(ISNUMBER(SEARCH('1Př1'!$A$33,N47)),MAX($M$2:M46)+1,0)</f>
        <v>45</v>
      </c>
      <c r="V47" s="325" t="s">
        <v>975</v>
      </c>
      <c r="W47" t="str">
        <f>IFERROR(VLOOKUP(ROWS($W$3:W47),$U$3:$V$992,2,0),"")</f>
        <v>Opravy a instalace strojů a zařízení</v>
      </c>
      <c r="X47">
        <f>IF(ISNUMBER(SEARCH('1Př1'!$A$34,N47)),MAX($M$2:M46)+1,0)</f>
        <v>45</v>
      </c>
      <c r="Y47" s="325" t="s">
        <v>975</v>
      </c>
      <c r="Z47" t="str">
        <f>IFERROR(VLOOKUP(ROWS($Z$3:Z47),$X$3:$Y$992,2,0),"")</f>
        <v>Opravy a instalace strojů a zařízení</v>
      </c>
    </row>
    <row r="48" spans="1:26" ht="12.75" customHeight="1">
      <c r="A48" s="301"/>
      <c r="B48" s="301"/>
      <c r="C48" s="301"/>
      <c r="D48" s="317">
        <f>IF(ISNUMBER(SEARCH(ZAKL_DATA!$B$14,E48)),MAX($D$2:D47)+1,0)</f>
        <v>46</v>
      </c>
      <c r="E48" s="330" t="s">
        <v>977</v>
      </c>
      <c r="F48" s="331">
        <v>2208</v>
      </c>
      <c r="G48" s="332"/>
      <c r="H48" s="333" t="str">
        <f>IFERROR(VLOOKUP(ROWS($H$3:H48),$D$3:$E$204,2,0),"")</f>
        <v>PÍSEK</v>
      </c>
      <c r="I48" s="301"/>
      <c r="J48" s="335" t="s">
        <v>978</v>
      </c>
      <c r="K48" s="323" t="s">
        <v>979</v>
      </c>
      <c r="M48" s="324">
        <f>IF(ISNUMBER(SEARCH(ZAKL_DATA!$B$29,N48)),MAX($M$2:M47)+1,0)</f>
        <v>46</v>
      </c>
      <c r="N48" s="325" t="s">
        <v>980</v>
      </c>
      <c r="O48" s="326" t="s">
        <v>981</v>
      </c>
      <c r="Q48" s="327" t="str">
        <f>IFERROR(VLOOKUP(ROWS($Q$3:Q48),$M$3:$N$992,2,0),"")</f>
        <v>Výroba a rozvod elektřiny, plynu, tepla a klimatizovaného vzduchu</v>
      </c>
      <c r="R48">
        <f>IF(ISNUMBER(SEARCH('1Př1'!$A$32,N48)),MAX($M$2:M47)+1,0)</f>
        <v>46</v>
      </c>
      <c r="S48" s="325" t="s">
        <v>980</v>
      </c>
      <c r="T48" t="str">
        <f>IFERROR(VLOOKUP(ROWS($T$3:T48),$R$3:$S$992,2,0),"")</f>
        <v>Výroba a rozvod elektřiny, plynu, tepla a klimatizovaného vzduchu</v>
      </c>
      <c r="U48">
        <f>IF(ISNUMBER(SEARCH('1Př1'!$A$33,N48)),MAX($M$2:M47)+1,0)</f>
        <v>46</v>
      </c>
      <c r="V48" s="325" t="s">
        <v>980</v>
      </c>
      <c r="W48" t="str">
        <f>IFERROR(VLOOKUP(ROWS($W$3:W48),$U$3:$V$992,2,0),"")</f>
        <v>Výroba a rozvod elektřiny, plynu, tepla a klimatizovaného vzduchu</v>
      </c>
      <c r="X48">
        <f>IF(ISNUMBER(SEARCH('1Př1'!$A$34,N48)),MAX($M$2:M47)+1,0)</f>
        <v>46</v>
      </c>
      <c r="Y48" s="325" t="s">
        <v>980</v>
      </c>
      <c r="Z48" t="str">
        <f>IFERROR(VLOOKUP(ROWS($Z$3:Z48),$X$3:$Y$992,2,0),"")</f>
        <v>Výroba a rozvod elektřiny, plynu, tepla a klimatizovaného vzduchu</v>
      </c>
    </row>
    <row r="49" spans="1:26" ht="12.75" customHeight="1">
      <c r="A49" s="301"/>
      <c r="B49" s="301"/>
      <c r="C49" s="301"/>
      <c r="D49" s="317">
        <f>IF(ISNUMBER(SEARCH(ZAKL_DATA!$B$14,E49)),MAX($D$2:D48)+1,0)</f>
        <v>47</v>
      </c>
      <c r="E49" s="330" t="s">
        <v>982</v>
      </c>
      <c r="F49" s="331">
        <v>2209</v>
      </c>
      <c r="G49" s="332"/>
      <c r="H49" s="333" t="str">
        <f>IFERROR(VLOOKUP(ROWS($H$3:H49),$D$3:$E$204,2,0),"")</f>
        <v>PRACHATICE</v>
      </c>
      <c r="I49" s="301"/>
      <c r="J49" s="335" t="s">
        <v>983</v>
      </c>
      <c r="K49" s="323" t="s">
        <v>984</v>
      </c>
      <c r="M49" s="324">
        <f>IF(ISNUMBER(SEARCH(ZAKL_DATA!$B$29,N49)),MAX($M$2:M48)+1,0)</f>
        <v>47</v>
      </c>
      <c r="N49" s="325" t="s">
        <v>985</v>
      </c>
      <c r="O49" s="326" t="s">
        <v>986</v>
      </c>
      <c r="Q49" s="327" t="str">
        <f>IFERROR(VLOOKUP(ROWS($Q$3:Q49),$M$3:$N$992,2,0),"")</f>
        <v>Shromažďování, úprava a rozvod vody</v>
      </c>
      <c r="R49">
        <f>IF(ISNUMBER(SEARCH('1Př1'!$A$32,N49)),MAX($M$2:M48)+1,0)</f>
        <v>47</v>
      </c>
      <c r="S49" s="325" t="s">
        <v>985</v>
      </c>
      <c r="T49" t="str">
        <f>IFERROR(VLOOKUP(ROWS($T$3:T49),$R$3:$S$992,2,0),"")</f>
        <v>Shromažďování, úprava a rozvod vody</v>
      </c>
      <c r="U49">
        <f>IF(ISNUMBER(SEARCH('1Př1'!$A$33,N49)),MAX($M$2:M48)+1,0)</f>
        <v>47</v>
      </c>
      <c r="V49" s="325" t="s">
        <v>985</v>
      </c>
      <c r="W49" t="str">
        <f>IFERROR(VLOOKUP(ROWS($W$3:W49),$U$3:$V$992,2,0),"")</f>
        <v>Shromažďování, úprava a rozvod vody</v>
      </c>
      <c r="X49">
        <f>IF(ISNUMBER(SEARCH('1Př1'!$A$34,N49)),MAX($M$2:M48)+1,0)</f>
        <v>47</v>
      </c>
      <c r="Y49" s="325" t="s">
        <v>985</v>
      </c>
      <c r="Z49" t="str">
        <f>IFERROR(VLOOKUP(ROWS($Z$3:Z49),$X$3:$Y$992,2,0),"")</f>
        <v>Shromažďování, úprava a rozvod vody</v>
      </c>
    </row>
    <row r="50" spans="1:26" ht="12.75" customHeight="1">
      <c r="A50" s="301"/>
      <c r="B50" s="301"/>
      <c r="C50" s="301"/>
      <c r="D50" s="317">
        <f>IF(ISNUMBER(SEARCH(ZAKL_DATA!$B$14,E50)),MAX($D$2:D49)+1,0)</f>
        <v>48</v>
      </c>
      <c r="E50" s="330" t="s">
        <v>987</v>
      </c>
      <c r="F50" s="331">
        <v>2210</v>
      </c>
      <c r="G50" s="332"/>
      <c r="H50" s="333" t="str">
        <f>IFERROR(VLOOKUP(ROWS($H$3:H50),$D$3:$E$204,2,0),"")</f>
        <v>SOBĚSLAV</v>
      </c>
      <c r="I50" s="301"/>
      <c r="J50" s="335" t="s">
        <v>988</v>
      </c>
      <c r="K50" s="323" t="s">
        <v>989</v>
      </c>
      <c r="M50" s="324">
        <f>IF(ISNUMBER(SEARCH(ZAKL_DATA!$B$29,N50)),MAX($M$2:M49)+1,0)</f>
        <v>48</v>
      </c>
      <c r="N50" s="325" t="s">
        <v>990</v>
      </c>
      <c r="O50" s="326" t="s">
        <v>991</v>
      </c>
      <c r="Q50" s="327" t="str">
        <f>IFERROR(VLOOKUP(ROWS($Q$3:Q50),$M$3:$N$992,2,0),"")</f>
        <v>Činnosti související s odpadními vodami</v>
      </c>
      <c r="R50">
        <f>IF(ISNUMBER(SEARCH('1Př1'!$A$32,N50)),MAX($M$2:M49)+1,0)</f>
        <v>48</v>
      </c>
      <c r="S50" s="325" t="s">
        <v>990</v>
      </c>
      <c r="T50" t="str">
        <f>IFERROR(VLOOKUP(ROWS($T$3:T50),$R$3:$S$992,2,0),"")</f>
        <v>Činnosti související s odpadními vodami</v>
      </c>
      <c r="U50">
        <f>IF(ISNUMBER(SEARCH('1Př1'!$A$33,N50)),MAX($M$2:M49)+1,0)</f>
        <v>48</v>
      </c>
      <c r="V50" s="325" t="s">
        <v>990</v>
      </c>
      <c r="W50" t="str">
        <f>IFERROR(VLOOKUP(ROWS($W$3:W50),$U$3:$V$992,2,0),"")</f>
        <v>Činnosti související s odpadními vodami</v>
      </c>
      <c r="X50">
        <f>IF(ISNUMBER(SEARCH('1Př1'!$A$34,N50)),MAX($M$2:M49)+1,0)</f>
        <v>48</v>
      </c>
      <c r="Y50" s="325" t="s">
        <v>990</v>
      </c>
      <c r="Z50" t="str">
        <f>IFERROR(VLOOKUP(ROWS($Z$3:Z50),$X$3:$Y$992,2,0),"")</f>
        <v>Činnosti související s odpadními vodami</v>
      </c>
    </row>
    <row r="51" spans="1:26" ht="12.75" customHeight="1">
      <c r="A51" s="301"/>
      <c r="B51" s="301"/>
      <c r="C51" s="301"/>
      <c r="D51" s="317">
        <f>IF(ISNUMBER(SEARCH(ZAKL_DATA!$B$14,E51)),MAX($D$2:D50)+1,0)</f>
        <v>49</v>
      </c>
      <c r="E51" s="330" t="s">
        <v>992</v>
      </c>
      <c r="F51" s="331">
        <v>2211</v>
      </c>
      <c r="G51" s="332"/>
      <c r="H51" s="333" t="str">
        <f>IFERROR(VLOOKUP(ROWS($H$3:H51),$D$3:$E$204,2,0),"")</f>
        <v>STRAKONICE</v>
      </c>
      <c r="I51" s="301"/>
      <c r="J51" s="335" t="s">
        <v>993</v>
      </c>
      <c r="K51" s="323" t="s">
        <v>994</v>
      </c>
      <c r="M51" s="324">
        <f>IF(ISNUMBER(SEARCH(ZAKL_DATA!$B$29,N51)),MAX($M$2:M50)+1,0)</f>
        <v>49</v>
      </c>
      <c r="N51" s="325" t="s">
        <v>995</v>
      </c>
      <c r="O51" s="326" t="s">
        <v>996</v>
      </c>
      <c r="Q51" s="327" t="str">
        <f>IFERROR(VLOOKUP(ROWS($Q$3:Q51),$M$3:$N$992,2,0),"")</f>
        <v>Shromažďování,sběr a odstraňování odpadů,úprava odpadů k dalšímu využití</v>
      </c>
      <c r="R51">
        <f>IF(ISNUMBER(SEARCH('1Př1'!$A$32,N51)),MAX($M$2:M50)+1,0)</f>
        <v>49</v>
      </c>
      <c r="S51" s="325" t="s">
        <v>995</v>
      </c>
      <c r="T51" t="str">
        <f>IFERROR(VLOOKUP(ROWS($T$3:T51),$R$3:$S$992,2,0),"")</f>
        <v>Shromažďování,sběr a odstraňování odpadů,úprava odpadů k dalšímu využití</v>
      </c>
      <c r="U51">
        <f>IF(ISNUMBER(SEARCH('1Př1'!$A$33,N51)),MAX($M$2:M50)+1,0)</f>
        <v>49</v>
      </c>
      <c r="V51" s="325" t="s">
        <v>995</v>
      </c>
      <c r="W51" t="str">
        <f>IFERROR(VLOOKUP(ROWS($W$3:W51),$U$3:$V$992,2,0),"")</f>
        <v>Shromažďování,sběr a odstraňování odpadů,úprava odpadů k dalšímu využití</v>
      </c>
      <c r="X51">
        <f>IF(ISNUMBER(SEARCH('1Př1'!$A$34,N51)),MAX($M$2:M50)+1,0)</f>
        <v>49</v>
      </c>
      <c r="Y51" s="325" t="s">
        <v>995</v>
      </c>
      <c r="Z51" t="str">
        <f>IFERROR(VLOOKUP(ROWS($Z$3:Z51),$X$3:$Y$992,2,0),"")</f>
        <v>Shromažďování,sběr a odstraňování odpadů,úprava odpadů k dalšímu využití</v>
      </c>
    </row>
    <row r="52" spans="1:26" ht="12.75" customHeight="1">
      <c r="A52" s="301"/>
      <c r="B52" s="301"/>
      <c r="C52" s="301"/>
      <c r="D52" s="317">
        <f>IF(ISNUMBER(SEARCH(ZAKL_DATA!$B$14,E52)),MAX($D$2:D51)+1,0)</f>
        <v>50</v>
      </c>
      <c r="E52" s="330" t="s">
        <v>997</v>
      </c>
      <c r="F52" s="331">
        <v>2212</v>
      </c>
      <c r="G52" s="332"/>
      <c r="H52" s="333" t="str">
        <f>IFERROR(VLOOKUP(ROWS($H$3:H52),$D$3:$E$204,2,0),"")</f>
        <v>TÁBOR</v>
      </c>
      <c r="I52" s="301"/>
      <c r="J52" s="335" t="s">
        <v>998</v>
      </c>
      <c r="K52" s="323" t="s">
        <v>999</v>
      </c>
      <c r="M52" s="324">
        <f>IF(ISNUMBER(SEARCH(ZAKL_DATA!$B$29,N52)),MAX($M$2:M51)+1,0)</f>
        <v>50</v>
      </c>
      <c r="N52" s="325" t="s">
        <v>1000</v>
      </c>
      <c r="O52" s="326" t="s">
        <v>1001</v>
      </c>
      <c r="Q52" s="327" t="str">
        <f>IFERROR(VLOOKUP(ROWS($Q$3:Q52),$M$3:$N$992,2,0),"")</f>
        <v>Sanace a jiné činnosti související s odpady</v>
      </c>
      <c r="R52">
        <f>IF(ISNUMBER(SEARCH('1Př1'!$A$32,N52)),MAX($M$2:M51)+1,0)</f>
        <v>50</v>
      </c>
      <c r="S52" s="325" t="s">
        <v>1000</v>
      </c>
      <c r="T52" t="str">
        <f>IFERROR(VLOOKUP(ROWS($T$3:T52),$R$3:$S$992,2,0),"")</f>
        <v>Sanace a jiné činnosti související s odpady</v>
      </c>
      <c r="U52">
        <f>IF(ISNUMBER(SEARCH('1Př1'!$A$33,N52)),MAX($M$2:M51)+1,0)</f>
        <v>50</v>
      </c>
      <c r="V52" s="325" t="s">
        <v>1000</v>
      </c>
      <c r="W52" t="str">
        <f>IFERROR(VLOOKUP(ROWS($W$3:W52),$U$3:$V$992,2,0),"")</f>
        <v>Sanace a jiné činnosti související s odpady</v>
      </c>
      <c r="X52">
        <f>IF(ISNUMBER(SEARCH('1Př1'!$A$34,N52)),MAX($M$2:M51)+1,0)</f>
        <v>50</v>
      </c>
      <c r="Y52" s="325" t="s">
        <v>1000</v>
      </c>
      <c r="Z52" t="str">
        <f>IFERROR(VLOOKUP(ROWS($Z$3:Z52),$X$3:$Y$992,2,0),"")</f>
        <v>Sanace a jiné činnosti související s odpady</v>
      </c>
    </row>
    <row r="53" spans="1:26" ht="12.75" customHeight="1">
      <c r="A53" s="301"/>
      <c r="B53" s="301"/>
      <c r="C53" s="301"/>
      <c r="D53" s="317">
        <f>IF(ISNUMBER(SEARCH(ZAKL_DATA!$B$14,E53)),MAX($D$2:D52)+1,0)</f>
        <v>51</v>
      </c>
      <c r="E53" s="330" t="s">
        <v>1002</v>
      </c>
      <c r="F53" s="331">
        <v>2213</v>
      </c>
      <c r="G53" s="332"/>
      <c r="H53" s="333" t="str">
        <f>IFERROR(VLOOKUP(ROWS($H$3:H53),$D$3:$E$204,2,0),"")</f>
        <v>TRHOVÉ SVINY</v>
      </c>
      <c r="I53" s="301"/>
      <c r="J53" s="335" t="s">
        <v>1003</v>
      </c>
      <c r="K53" s="323" t="s">
        <v>1004</v>
      </c>
      <c r="M53" s="324">
        <f>IF(ISNUMBER(SEARCH(ZAKL_DATA!$B$29,N53)),MAX($M$2:M52)+1,0)</f>
        <v>51</v>
      </c>
      <c r="N53" s="325" t="s">
        <v>1005</v>
      </c>
      <c r="O53" s="326" t="s">
        <v>1006</v>
      </c>
      <c r="Q53" s="327" t="str">
        <f>IFERROR(VLOOKUP(ROWS($Q$3:Q53),$M$3:$N$992,2,0),"")</f>
        <v>Výstavba budov</v>
      </c>
      <c r="R53">
        <f>IF(ISNUMBER(SEARCH('1Př1'!$A$32,N53)),MAX($M$2:M52)+1,0)</f>
        <v>51</v>
      </c>
      <c r="S53" s="325" t="s">
        <v>1005</v>
      </c>
      <c r="T53" t="str">
        <f>IFERROR(VLOOKUP(ROWS($T$3:T53),$R$3:$S$992,2,0),"")</f>
        <v>Výstavba budov</v>
      </c>
      <c r="U53">
        <f>IF(ISNUMBER(SEARCH('1Př1'!$A$33,N53)),MAX($M$2:M52)+1,0)</f>
        <v>51</v>
      </c>
      <c r="V53" s="325" t="s">
        <v>1005</v>
      </c>
      <c r="W53" t="str">
        <f>IFERROR(VLOOKUP(ROWS($W$3:W53),$U$3:$V$992,2,0),"")</f>
        <v>Výstavba budov</v>
      </c>
      <c r="X53">
        <f>IF(ISNUMBER(SEARCH('1Př1'!$A$34,N53)),MAX($M$2:M52)+1,0)</f>
        <v>51</v>
      </c>
      <c r="Y53" s="325" t="s">
        <v>1005</v>
      </c>
      <c r="Z53" t="str">
        <f>IFERROR(VLOOKUP(ROWS($Z$3:Z53),$X$3:$Y$992,2,0),"")</f>
        <v>Výstavba budov</v>
      </c>
    </row>
    <row r="54" spans="1:26" ht="12.75" customHeight="1">
      <c r="A54" s="301"/>
      <c r="B54" s="301"/>
      <c r="C54" s="301"/>
      <c r="D54" s="317">
        <f>IF(ISNUMBER(SEARCH(ZAKL_DATA!$B$14,E54)),MAX($D$2:D53)+1,0)</f>
        <v>52</v>
      </c>
      <c r="E54" s="330" t="s">
        <v>1007</v>
      </c>
      <c r="F54" s="331">
        <v>2214</v>
      </c>
      <c r="G54" s="332"/>
      <c r="H54" s="333" t="str">
        <f>IFERROR(VLOOKUP(ROWS($H$3:H54),$D$3:$E$204,2,0),"")</f>
        <v>TŘEBOŇ</v>
      </c>
      <c r="I54" s="301"/>
      <c r="J54" s="335" t="s">
        <v>1008</v>
      </c>
      <c r="K54" s="323" t="s">
        <v>1009</v>
      </c>
      <c r="M54" s="324">
        <f>IF(ISNUMBER(SEARCH(ZAKL_DATA!$B$29,N54)),MAX($M$2:M53)+1,0)</f>
        <v>52</v>
      </c>
      <c r="N54" s="325" t="s">
        <v>1010</v>
      </c>
      <c r="O54" s="326" t="s">
        <v>1011</v>
      </c>
      <c r="Q54" s="327" t="str">
        <f>IFERROR(VLOOKUP(ROWS($Q$3:Q54),$M$3:$N$992,2,0),"")</f>
        <v>Inženýrské stavitelství</v>
      </c>
      <c r="R54">
        <f>IF(ISNUMBER(SEARCH('1Př1'!$A$32,N54)),MAX($M$2:M53)+1,0)</f>
        <v>52</v>
      </c>
      <c r="S54" s="325" t="s">
        <v>1010</v>
      </c>
      <c r="T54" t="str">
        <f>IFERROR(VLOOKUP(ROWS($T$3:T54),$R$3:$S$992,2,0),"")</f>
        <v>Inženýrské stavitelství</v>
      </c>
      <c r="U54">
        <f>IF(ISNUMBER(SEARCH('1Př1'!$A$33,N54)),MAX($M$2:M53)+1,0)</f>
        <v>52</v>
      </c>
      <c r="V54" s="325" t="s">
        <v>1010</v>
      </c>
      <c r="W54" t="str">
        <f>IFERROR(VLOOKUP(ROWS($W$3:W54),$U$3:$V$992,2,0),"")</f>
        <v>Inženýrské stavitelství</v>
      </c>
      <c r="X54">
        <f>IF(ISNUMBER(SEARCH('1Př1'!$A$34,N54)),MAX($M$2:M53)+1,0)</f>
        <v>52</v>
      </c>
      <c r="Y54" s="325" t="s">
        <v>1010</v>
      </c>
      <c r="Z54" t="str">
        <f>IFERROR(VLOOKUP(ROWS($Z$3:Z54),$X$3:$Y$992,2,0),"")</f>
        <v>Inženýrské stavitelství</v>
      </c>
    </row>
    <row r="55" spans="1:26" ht="12.75" customHeight="1">
      <c r="A55" s="301"/>
      <c r="B55" s="301"/>
      <c r="C55" s="301"/>
      <c r="D55" s="317">
        <f>IF(ISNUMBER(SEARCH(ZAKL_DATA!$B$14,E55)),MAX($D$2:D54)+1,0)</f>
        <v>53</v>
      </c>
      <c r="E55" s="330" t="s">
        <v>1012</v>
      </c>
      <c r="F55" s="331">
        <v>2215</v>
      </c>
      <c r="G55" s="332"/>
      <c r="H55" s="333" t="str">
        <f>IFERROR(VLOOKUP(ROWS($H$3:H55),$D$3:$E$204,2,0),"")</f>
        <v>TÝN NAD VLTAVOU</v>
      </c>
      <c r="I55" s="301"/>
      <c r="J55" s="335" t="s">
        <v>1013</v>
      </c>
      <c r="K55" s="323" t="s">
        <v>1014</v>
      </c>
      <c r="M55" s="324">
        <f>IF(ISNUMBER(SEARCH(ZAKL_DATA!$B$29,N55)),MAX($M$2:M54)+1,0)</f>
        <v>53</v>
      </c>
      <c r="N55" s="325" t="s">
        <v>1015</v>
      </c>
      <c r="O55" s="326" t="s">
        <v>1016</v>
      </c>
      <c r="Q55" s="327" t="str">
        <f>IFERROR(VLOOKUP(ROWS($Q$3:Q55),$M$3:$N$992,2,0),"")</f>
        <v>Specializované stavební činnosti</v>
      </c>
      <c r="R55">
        <f>IF(ISNUMBER(SEARCH('1Př1'!$A$32,N55)),MAX($M$2:M54)+1,0)</f>
        <v>53</v>
      </c>
      <c r="S55" s="325" t="s">
        <v>1015</v>
      </c>
      <c r="T55" t="str">
        <f>IFERROR(VLOOKUP(ROWS($T$3:T55),$R$3:$S$992,2,0),"")</f>
        <v>Specializované stavební činnosti</v>
      </c>
      <c r="U55">
        <f>IF(ISNUMBER(SEARCH('1Př1'!$A$33,N55)),MAX($M$2:M54)+1,0)</f>
        <v>53</v>
      </c>
      <c r="V55" s="325" t="s">
        <v>1015</v>
      </c>
      <c r="W55" t="str">
        <f>IFERROR(VLOOKUP(ROWS($W$3:W55),$U$3:$V$992,2,0),"")</f>
        <v>Specializované stavební činnosti</v>
      </c>
      <c r="X55">
        <f>IF(ISNUMBER(SEARCH('1Př1'!$A$34,N55)),MAX($M$2:M54)+1,0)</f>
        <v>53</v>
      </c>
      <c r="Y55" s="325" t="s">
        <v>1015</v>
      </c>
      <c r="Z55" t="str">
        <f>IFERROR(VLOOKUP(ROWS($Z$3:Z55),$X$3:$Y$992,2,0),"")</f>
        <v>Specializované stavební činnosti</v>
      </c>
    </row>
    <row r="56" spans="1:26" ht="12.75" customHeight="1">
      <c r="A56" s="301"/>
      <c r="B56" s="301"/>
      <c r="C56" s="301"/>
      <c r="D56" s="317">
        <f>IF(ISNUMBER(SEARCH(ZAKL_DATA!$B$14,E56)),MAX($D$2:D55)+1,0)</f>
        <v>54</v>
      </c>
      <c r="E56" s="330" t="s">
        <v>1017</v>
      </c>
      <c r="F56" s="331">
        <v>2216</v>
      </c>
      <c r="G56" s="332"/>
      <c r="H56" s="333" t="str">
        <f>IFERROR(VLOOKUP(ROWS($H$3:H56),$D$3:$E$204,2,0),"")</f>
        <v>VIMPERK</v>
      </c>
      <c r="I56" s="301"/>
      <c r="J56" s="335" t="s">
        <v>1018</v>
      </c>
      <c r="K56" s="323" t="s">
        <v>1019</v>
      </c>
      <c r="M56" s="324">
        <f>IF(ISNUMBER(SEARCH(ZAKL_DATA!$B$29,N56)),MAX($M$2:M55)+1,0)</f>
        <v>54</v>
      </c>
      <c r="N56" s="325" t="s">
        <v>1020</v>
      </c>
      <c r="O56" s="326" t="s">
        <v>1021</v>
      </c>
      <c r="Q56" s="327" t="str">
        <f>IFERROR(VLOOKUP(ROWS($Q$3:Q56),$M$3:$N$992,2,0),"")</f>
        <v>Velkoobchod, maloobchod a opravy motorových vozidel</v>
      </c>
      <c r="R56">
        <f>IF(ISNUMBER(SEARCH('1Př1'!$A$32,N56)),MAX($M$2:M55)+1,0)</f>
        <v>54</v>
      </c>
      <c r="S56" s="325" t="s">
        <v>1020</v>
      </c>
      <c r="T56" t="str">
        <f>IFERROR(VLOOKUP(ROWS($T$3:T56),$R$3:$S$992,2,0),"")</f>
        <v>Velkoobchod, maloobchod a opravy motorových vozidel</v>
      </c>
      <c r="U56">
        <f>IF(ISNUMBER(SEARCH('1Př1'!$A$33,N56)),MAX($M$2:M55)+1,0)</f>
        <v>54</v>
      </c>
      <c r="V56" s="325" t="s">
        <v>1020</v>
      </c>
      <c r="W56" t="str">
        <f>IFERROR(VLOOKUP(ROWS($W$3:W56),$U$3:$V$992,2,0),"")</f>
        <v>Velkoobchod, maloobchod a opravy motorových vozidel</v>
      </c>
      <c r="X56">
        <f>IF(ISNUMBER(SEARCH('1Př1'!$A$34,N56)),MAX($M$2:M55)+1,0)</f>
        <v>54</v>
      </c>
      <c r="Y56" s="325" t="s">
        <v>1020</v>
      </c>
      <c r="Z56" t="str">
        <f>IFERROR(VLOOKUP(ROWS($Z$3:Z56),$X$3:$Y$992,2,0),"")</f>
        <v>Velkoobchod, maloobchod a opravy motorových vozidel</v>
      </c>
    </row>
    <row r="57" spans="1:26" ht="12.75" customHeight="1">
      <c r="A57" s="301"/>
      <c r="B57" s="301"/>
      <c r="C57" s="301"/>
      <c r="D57" s="317">
        <f>IF(ISNUMBER(SEARCH(ZAKL_DATA!$B$14,E57)),MAX($D$2:D56)+1,0)</f>
        <v>55</v>
      </c>
      <c r="E57" s="330" t="s">
        <v>1022</v>
      </c>
      <c r="F57" s="331">
        <v>2217</v>
      </c>
      <c r="G57" s="332"/>
      <c r="H57" s="333" t="str">
        <f>IFERROR(VLOOKUP(ROWS($H$3:H57),$D$3:$E$204,2,0),"")</f>
        <v>VODŇANY</v>
      </c>
      <c r="I57" s="301"/>
      <c r="J57" s="335" t="s">
        <v>1023</v>
      </c>
      <c r="K57" s="323" t="s">
        <v>1024</v>
      </c>
      <c r="M57" s="324">
        <f>IF(ISNUMBER(SEARCH(ZAKL_DATA!$B$29,N57)),MAX($M$2:M56)+1,0)</f>
        <v>55</v>
      </c>
      <c r="N57" s="325" t="s">
        <v>1025</v>
      </c>
      <c r="O57" s="326" t="s">
        <v>1026</v>
      </c>
      <c r="Q57" s="327" t="str">
        <f>IFERROR(VLOOKUP(ROWS($Q$3:Q57),$M$3:$N$992,2,0),"")</f>
        <v>Velkoobchod, kromě motorových vozidel</v>
      </c>
      <c r="R57">
        <f>IF(ISNUMBER(SEARCH('1Př1'!$A$32,N57)),MAX($M$2:M56)+1,0)</f>
        <v>55</v>
      </c>
      <c r="S57" s="325" t="s">
        <v>1025</v>
      </c>
      <c r="T57" t="str">
        <f>IFERROR(VLOOKUP(ROWS($T$3:T57),$R$3:$S$992,2,0),"")</f>
        <v>Velkoobchod, kromě motorových vozidel</v>
      </c>
      <c r="U57">
        <f>IF(ISNUMBER(SEARCH('1Př1'!$A$33,N57)),MAX($M$2:M56)+1,0)</f>
        <v>55</v>
      </c>
      <c r="V57" s="325" t="s">
        <v>1025</v>
      </c>
      <c r="W57" t="str">
        <f>IFERROR(VLOOKUP(ROWS($W$3:W57),$U$3:$V$992,2,0),"")</f>
        <v>Velkoobchod, kromě motorových vozidel</v>
      </c>
      <c r="X57">
        <f>IF(ISNUMBER(SEARCH('1Př1'!$A$34,N57)),MAX($M$2:M56)+1,0)</f>
        <v>55</v>
      </c>
      <c r="Y57" s="325" t="s">
        <v>1025</v>
      </c>
      <c r="Z57" t="str">
        <f>IFERROR(VLOOKUP(ROWS($Z$3:Z57),$X$3:$Y$992,2,0),"")</f>
        <v>Velkoobchod, kromě motorových vozidel</v>
      </c>
    </row>
    <row r="58" spans="1:26" ht="12.75" customHeight="1">
      <c r="A58" s="301"/>
      <c r="B58" s="301"/>
      <c r="C58" s="301"/>
      <c r="D58" s="317">
        <f>IF(ISNUMBER(SEARCH(ZAKL_DATA!$B$14,E58)),MAX($D$2:D57)+1,0)</f>
        <v>56</v>
      </c>
      <c r="E58" s="330" t="s">
        <v>1027</v>
      </c>
      <c r="F58" s="331">
        <v>2301</v>
      </c>
      <c r="G58" s="332"/>
      <c r="H58" s="333" t="str">
        <f>IFERROR(VLOOKUP(ROWS($H$3:H58),$D$3:$E$204,2,0),"")</f>
        <v>PLZEŇ</v>
      </c>
      <c r="I58" s="301"/>
      <c r="J58" s="335" t="s">
        <v>1028</v>
      </c>
      <c r="K58" s="323" t="s">
        <v>1029</v>
      </c>
      <c r="M58" s="324">
        <f>IF(ISNUMBER(SEARCH(ZAKL_DATA!$B$29,N58)),MAX($M$2:M57)+1,0)</f>
        <v>56</v>
      </c>
      <c r="N58" s="325" t="s">
        <v>1030</v>
      </c>
      <c r="O58" s="326" t="s">
        <v>1031</v>
      </c>
      <c r="Q58" s="327" t="str">
        <f>IFERROR(VLOOKUP(ROWS($Q$3:Q58),$M$3:$N$992,2,0),"")</f>
        <v>Maloobchod, kromě motorových vozidel</v>
      </c>
      <c r="R58">
        <f>IF(ISNUMBER(SEARCH('1Př1'!$A$32,N58)),MAX($M$2:M57)+1,0)</f>
        <v>56</v>
      </c>
      <c r="S58" s="325" t="s">
        <v>1030</v>
      </c>
      <c r="T58" t="str">
        <f>IFERROR(VLOOKUP(ROWS($T$3:T58),$R$3:$S$992,2,0),"")</f>
        <v>Maloobchod, kromě motorových vozidel</v>
      </c>
      <c r="U58">
        <f>IF(ISNUMBER(SEARCH('1Př1'!$A$33,N58)),MAX($M$2:M57)+1,0)</f>
        <v>56</v>
      </c>
      <c r="V58" s="325" t="s">
        <v>1030</v>
      </c>
      <c r="W58" t="str">
        <f>IFERROR(VLOOKUP(ROWS($W$3:W58),$U$3:$V$992,2,0),"")</f>
        <v>Maloobchod, kromě motorových vozidel</v>
      </c>
      <c r="X58">
        <f>IF(ISNUMBER(SEARCH('1Př1'!$A$34,N58)),MAX($M$2:M57)+1,0)</f>
        <v>56</v>
      </c>
      <c r="Y58" s="325" t="s">
        <v>1030</v>
      </c>
      <c r="Z58" t="str">
        <f>IFERROR(VLOOKUP(ROWS($Z$3:Z58),$X$3:$Y$992,2,0),"")</f>
        <v>Maloobchod, kromě motorových vozidel</v>
      </c>
    </row>
    <row r="59" spans="1:26" ht="12.75" customHeight="1">
      <c r="A59" s="301"/>
      <c r="B59" s="301"/>
      <c r="C59" s="301"/>
      <c r="D59" s="317">
        <f>IF(ISNUMBER(SEARCH(ZAKL_DATA!$B$14,E59)),MAX($D$2:D58)+1,0)</f>
        <v>57</v>
      </c>
      <c r="E59" s="330" t="s">
        <v>1032</v>
      </c>
      <c r="F59" s="331">
        <v>2302</v>
      </c>
      <c r="G59" s="332"/>
      <c r="H59" s="333" t="str">
        <f>IFERROR(VLOOKUP(ROWS($H$3:H59),$D$3:$E$204,2,0),"")</f>
        <v>PLZEŇ-SEVER</v>
      </c>
      <c r="I59" s="301"/>
      <c r="J59" s="334" t="s">
        <v>1033</v>
      </c>
      <c r="K59" s="323" t="s">
        <v>1034</v>
      </c>
      <c r="M59" s="324">
        <f>IF(ISNUMBER(SEARCH(ZAKL_DATA!$B$29,N59)),MAX($M$2:M58)+1,0)</f>
        <v>57</v>
      </c>
      <c r="N59" s="325" t="s">
        <v>1035</v>
      </c>
      <c r="O59" s="326" t="s">
        <v>1036</v>
      </c>
      <c r="Q59" s="327" t="str">
        <f>IFERROR(VLOOKUP(ROWS($Q$3:Q59),$M$3:$N$992,2,0),"")</f>
        <v>Pozemní a potrubní doprava</v>
      </c>
      <c r="R59">
        <f>IF(ISNUMBER(SEARCH('1Př1'!$A$32,N59)),MAX($M$2:M58)+1,0)</f>
        <v>57</v>
      </c>
      <c r="S59" s="325" t="s">
        <v>1035</v>
      </c>
      <c r="T59" t="str">
        <f>IFERROR(VLOOKUP(ROWS($T$3:T59),$R$3:$S$992,2,0),"")</f>
        <v>Pozemní a potrubní doprava</v>
      </c>
      <c r="U59">
        <f>IF(ISNUMBER(SEARCH('1Př1'!$A$33,N59)),MAX($M$2:M58)+1,0)</f>
        <v>57</v>
      </c>
      <c r="V59" s="325" t="s">
        <v>1035</v>
      </c>
      <c r="W59" t="str">
        <f>IFERROR(VLOOKUP(ROWS($W$3:W59),$U$3:$V$992,2,0),"")</f>
        <v>Pozemní a potrubní doprava</v>
      </c>
      <c r="X59">
        <f>IF(ISNUMBER(SEARCH('1Př1'!$A$34,N59)),MAX($M$2:M58)+1,0)</f>
        <v>57</v>
      </c>
      <c r="Y59" s="325" t="s">
        <v>1035</v>
      </c>
      <c r="Z59" t="str">
        <f>IFERROR(VLOOKUP(ROWS($Z$3:Z59),$X$3:$Y$992,2,0),"")</f>
        <v>Pozemní a potrubní doprava</v>
      </c>
    </row>
    <row r="60" spans="1:26" ht="12.75" customHeight="1">
      <c r="A60" s="301"/>
      <c r="B60" s="301"/>
      <c r="C60" s="301"/>
      <c r="D60" s="317">
        <f>IF(ISNUMBER(SEARCH(ZAKL_DATA!$B$14,E60)),MAX($D$2:D59)+1,0)</f>
        <v>58</v>
      </c>
      <c r="E60" s="330" t="s">
        <v>1037</v>
      </c>
      <c r="F60" s="331">
        <v>2303</v>
      </c>
      <c r="G60" s="332"/>
      <c r="H60" s="333" t="str">
        <f>IFERROR(VLOOKUP(ROWS($H$3:H60),$D$3:$E$204,2,0),"")</f>
        <v>PLZEŇ-JIH</v>
      </c>
      <c r="I60" s="301"/>
      <c r="J60" s="335" t="s">
        <v>1038</v>
      </c>
      <c r="K60" s="323" t="s">
        <v>1039</v>
      </c>
      <c r="M60" s="324">
        <f>IF(ISNUMBER(SEARCH(ZAKL_DATA!$B$29,N60)),MAX($M$2:M59)+1,0)</f>
        <v>58</v>
      </c>
      <c r="N60" s="325" t="s">
        <v>1040</v>
      </c>
      <c r="O60" s="326" t="s">
        <v>1041</v>
      </c>
      <c r="Q60" s="327" t="str">
        <f>IFERROR(VLOOKUP(ROWS($Q$3:Q60),$M$3:$N$992,2,0),"")</f>
        <v>Vodní doprava</v>
      </c>
      <c r="R60">
        <f>IF(ISNUMBER(SEARCH('1Př1'!$A$32,N60)),MAX($M$2:M59)+1,0)</f>
        <v>58</v>
      </c>
      <c r="S60" s="325" t="s">
        <v>1040</v>
      </c>
      <c r="T60" t="str">
        <f>IFERROR(VLOOKUP(ROWS($T$3:T60),$R$3:$S$992,2,0),"")</f>
        <v>Vodní doprava</v>
      </c>
      <c r="U60">
        <f>IF(ISNUMBER(SEARCH('1Př1'!$A$33,N60)),MAX($M$2:M59)+1,0)</f>
        <v>58</v>
      </c>
      <c r="V60" s="325" t="s">
        <v>1040</v>
      </c>
      <c r="W60" t="str">
        <f>IFERROR(VLOOKUP(ROWS($W$3:W60),$U$3:$V$992,2,0),"")</f>
        <v>Vodní doprava</v>
      </c>
      <c r="X60">
        <f>IF(ISNUMBER(SEARCH('1Př1'!$A$34,N60)),MAX($M$2:M59)+1,0)</f>
        <v>58</v>
      </c>
      <c r="Y60" s="325" t="s">
        <v>1040</v>
      </c>
      <c r="Z60" t="str">
        <f>IFERROR(VLOOKUP(ROWS($Z$3:Z60),$X$3:$Y$992,2,0),"")</f>
        <v>Vodní doprava</v>
      </c>
    </row>
    <row r="61" spans="1:26" ht="12.75" customHeight="1">
      <c r="A61" s="301"/>
      <c r="B61" s="301"/>
      <c r="C61" s="301"/>
      <c r="D61" s="317">
        <f>IF(ISNUMBER(SEARCH(ZAKL_DATA!$B$14,E61)),MAX($D$2:D60)+1,0)</f>
        <v>59</v>
      </c>
      <c r="E61" s="330" t="s">
        <v>1042</v>
      </c>
      <c r="F61" s="331">
        <v>2304</v>
      </c>
      <c r="G61" s="332"/>
      <c r="H61" s="333" t="str">
        <f>IFERROR(VLOOKUP(ROWS($H$3:H61),$D$3:$E$204,2,0),"")</f>
        <v>BLOVICE</v>
      </c>
      <c r="I61" s="301"/>
      <c r="J61" s="335" t="s">
        <v>1043</v>
      </c>
      <c r="K61" s="323" t="s">
        <v>1044</v>
      </c>
      <c r="M61" s="324">
        <f>IF(ISNUMBER(SEARCH(ZAKL_DATA!$B$29,N61)),MAX($M$2:M60)+1,0)</f>
        <v>59</v>
      </c>
      <c r="N61" s="325" t="s">
        <v>1045</v>
      </c>
      <c r="O61" s="326" t="s">
        <v>1046</v>
      </c>
      <c r="Q61" s="327" t="str">
        <f>IFERROR(VLOOKUP(ROWS($Q$3:Q61),$M$3:$N$992,2,0),"")</f>
        <v>Letecká doprava</v>
      </c>
      <c r="R61">
        <f>IF(ISNUMBER(SEARCH('1Př1'!$A$32,N61)),MAX($M$2:M60)+1,0)</f>
        <v>59</v>
      </c>
      <c r="S61" s="325" t="s">
        <v>1045</v>
      </c>
      <c r="T61" t="str">
        <f>IFERROR(VLOOKUP(ROWS($T$3:T61),$R$3:$S$992,2,0),"")</f>
        <v>Letecká doprava</v>
      </c>
      <c r="U61">
        <f>IF(ISNUMBER(SEARCH('1Př1'!$A$33,N61)),MAX($M$2:M60)+1,0)</f>
        <v>59</v>
      </c>
      <c r="V61" s="325" t="s">
        <v>1045</v>
      </c>
      <c r="W61" t="str">
        <f>IFERROR(VLOOKUP(ROWS($W$3:W61),$U$3:$V$992,2,0),"")</f>
        <v>Letecká doprava</v>
      </c>
      <c r="X61">
        <f>IF(ISNUMBER(SEARCH('1Př1'!$A$34,N61)),MAX($M$2:M60)+1,0)</f>
        <v>59</v>
      </c>
      <c r="Y61" s="325" t="s">
        <v>1045</v>
      </c>
      <c r="Z61" t="str">
        <f>IFERROR(VLOOKUP(ROWS($Z$3:Z61),$X$3:$Y$992,2,0),"")</f>
        <v>Letecká doprava</v>
      </c>
    </row>
    <row r="62" spans="1:26" ht="12.75" customHeight="1">
      <c r="A62" s="301"/>
      <c r="B62" s="301"/>
      <c r="C62" s="301"/>
      <c r="D62" s="317">
        <f>IF(ISNUMBER(SEARCH(ZAKL_DATA!$B$14,E62)),MAX($D$2:D61)+1,0)</f>
        <v>60</v>
      </c>
      <c r="E62" s="330" t="s">
        <v>1047</v>
      </c>
      <c r="F62" s="331">
        <v>2305</v>
      </c>
      <c r="G62" s="332"/>
      <c r="H62" s="333" t="str">
        <f>IFERROR(VLOOKUP(ROWS($H$3:H62),$D$3:$E$204,2,0),"")</f>
        <v>DOMAŽLICE</v>
      </c>
      <c r="I62" s="301"/>
      <c r="J62" s="335" t="s">
        <v>1048</v>
      </c>
      <c r="K62" s="323" t="s">
        <v>1049</v>
      </c>
      <c r="M62" s="324">
        <f>IF(ISNUMBER(SEARCH(ZAKL_DATA!$B$29,N62)),MAX($M$2:M61)+1,0)</f>
        <v>60</v>
      </c>
      <c r="N62" s="325" t="s">
        <v>1050</v>
      </c>
      <c r="O62" s="326" t="s">
        <v>1051</v>
      </c>
      <c r="Q62" s="327" t="str">
        <f>IFERROR(VLOOKUP(ROWS($Q$3:Q62),$M$3:$N$992,2,0),"")</f>
        <v>Těžba a úprava černého uhlí</v>
      </c>
      <c r="R62">
        <f>IF(ISNUMBER(SEARCH('1Př1'!$A$32,N62)),MAX($M$2:M61)+1,0)</f>
        <v>60</v>
      </c>
      <c r="S62" s="325" t="s">
        <v>1050</v>
      </c>
      <c r="T62" t="str">
        <f>IFERROR(VLOOKUP(ROWS($T$3:T62),$R$3:$S$992,2,0),"")</f>
        <v>Těžba a úprava černého uhlí</v>
      </c>
      <c r="U62">
        <f>IF(ISNUMBER(SEARCH('1Př1'!$A$33,N62)),MAX($M$2:M61)+1,0)</f>
        <v>60</v>
      </c>
      <c r="V62" s="325" t="s">
        <v>1050</v>
      </c>
      <c r="W62" t="str">
        <f>IFERROR(VLOOKUP(ROWS($W$3:W62),$U$3:$V$992,2,0),"")</f>
        <v>Těžba a úprava černého uhlí</v>
      </c>
      <c r="X62">
        <f>IF(ISNUMBER(SEARCH('1Př1'!$A$34,N62)),MAX($M$2:M61)+1,0)</f>
        <v>60</v>
      </c>
      <c r="Y62" s="325" t="s">
        <v>1050</v>
      </c>
      <c r="Z62" t="str">
        <f>IFERROR(VLOOKUP(ROWS($Z$3:Z62),$X$3:$Y$992,2,0),"")</f>
        <v>Těžba a úprava černého uhlí</v>
      </c>
    </row>
    <row r="63" spans="1:26" ht="12.75" customHeight="1">
      <c r="A63" s="301"/>
      <c r="B63" s="301"/>
      <c r="C63" s="301"/>
      <c r="D63" s="317">
        <f>IF(ISNUMBER(SEARCH(ZAKL_DATA!$B$14,E63)),MAX($D$2:D62)+1,0)</f>
        <v>61</v>
      </c>
      <c r="E63" s="330" t="s">
        <v>1052</v>
      </c>
      <c r="F63" s="331">
        <v>2306</v>
      </c>
      <c r="G63" s="332"/>
      <c r="H63" s="333" t="str">
        <f>IFERROR(VLOOKUP(ROWS($H$3:H63),$D$3:$E$204,2,0),"")</f>
        <v>HORAŽĎOVICE</v>
      </c>
      <c r="I63" s="301"/>
      <c r="J63" s="335" t="s">
        <v>1053</v>
      </c>
      <c r="K63" s="323" t="s">
        <v>1054</v>
      </c>
      <c r="M63" s="324">
        <f>IF(ISNUMBER(SEARCH(ZAKL_DATA!$B$29,N63)),MAX($M$2:M62)+1,0)</f>
        <v>61</v>
      </c>
      <c r="N63" s="325" t="s">
        <v>1055</v>
      </c>
      <c r="O63" s="326" t="s">
        <v>1056</v>
      </c>
      <c r="Q63" s="327" t="str">
        <f>IFERROR(VLOOKUP(ROWS($Q$3:Q63),$M$3:$N$992,2,0),"")</f>
        <v>Skladování a vedlejší činnosti v dopravě</v>
      </c>
      <c r="R63">
        <f>IF(ISNUMBER(SEARCH('1Př1'!$A$32,N63)),MAX($M$2:M62)+1,0)</f>
        <v>61</v>
      </c>
      <c r="S63" s="325" t="s">
        <v>1055</v>
      </c>
      <c r="T63" t="str">
        <f>IFERROR(VLOOKUP(ROWS($T$3:T63),$R$3:$S$992,2,0),"")</f>
        <v>Skladování a vedlejší činnosti v dopravě</v>
      </c>
      <c r="U63">
        <f>IF(ISNUMBER(SEARCH('1Př1'!$A$33,N63)),MAX($M$2:M62)+1,0)</f>
        <v>61</v>
      </c>
      <c r="V63" s="325" t="s">
        <v>1055</v>
      </c>
      <c r="W63" t="str">
        <f>IFERROR(VLOOKUP(ROWS($W$3:W63),$U$3:$V$992,2,0),"")</f>
        <v>Skladování a vedlejší činnosti v dopravě</v>
      </c>
      <c r="X63">
        <f>IF(ISNUMBER(SEARCH('1Př1'!$A$34,N63)),MAX($M$2:M62)+1,0)</f>
        <v>61</v>
      </c>
      <c r="Y63" s="325" t="s">
        <v>1055</v>
      </c>
      <c r="Z63" t="str">
        <f>IFERROR(VLOOKUP(ROWS($Z$3:Z63),$X$3:$Y$992,2,0),"")</f>
        <v>Skladování a vedlejší činnosti v dopravě</v>
      </c>
    </row>
    <row r="64" spans="1:26" ht="12.75" customHeight="1">
      <c r="A64" s="301"/>
      <c r="B64" s="301"/>
      <c r="C64" s="301"/>
      <c r="D64" s="317">
        <f>IF(ISNUMBER(SEARCH(ZAKL_DATA!$B$14,E64)),MAX($D$2:D63)+1,0)</f>
        <v>62</v>
      </c>
      <c r="E64" s="330" t="s">
        <v>1057</v>
      </c>
      <c r="F64" s="331">
        <v>2307</v>
      </c>
      <c r="G64" s="332"/>
      <c r="H64" s="333" t="str">
        <f>IFERROR(VLOOKUP(ROWS($H$3:H64),$D$3:$E$204,2,0),"")</f>
        <v>HORŠOVSKÝ TÝN</v>
      </c>
      <c r="I64" s="301"/>
      <c r="J64" s="335" t="s">
        <v>1058</v>
      </c>
      <c r="K64" s="323" t="s">
        <v>1059</v>
      </c>
      <c r="M64" s="324">
        <f>IF(ISNUMBER(SEARCH(ZAKL_DATA!$B$29,N64)),MAX($M$2:M63)+1,0)</f>
        <v>62</v>
      </c>
      <c r="N64" s="325" t="s">
        <v>1060</v>
      </c>
      <c r="O64" s="326" t="s">
        <v>1061</v>
      </c>
      <c r="Q64" s="327" t="str">
        <f>IFERROR(VLOOKUP(ROWS($Q$3:Q64),$M$3:$N$992,2,0),"")</f>
        <v>Těžba a úprava hnědého uhlí</v>
      </c>
      <c r="R64">
        <f>IF(ISNUMBER(SEARCH('1Př1'!$A$32,N64)),MAX($M$2:M63)+1,0)</f>
        <v>62</v>
      </c>
      <c r="S64" s="325" t="s">
        <v>1060</v>
      </c>
      <c r="T64" t="str">
        <f>IFERROR(VLOOKUP(ROWS($T$3:T64),$R$3:$S$992,2,0),"")</f>
        <v>Těžba a úprava hnědého uhlí</v>
      </c>
      <c r="U64">
        <f>IF(ISNUMBER(SEARCH('1Př1'!$A$33,N64)),MAX($M$2:M63)+1,0)</f>
        <v>62</v>
      </c>
      <c r="V64" s="325" t="s">
        <v>1060</v>
      </c>
      <c r="W64" t="str">
        <f>IFERROR(VLOOKUP(ROWS($W$3:W64),$U$3:$V$992,2,0),"")</f>
        <v>Těžba a úprava hnědého uhlí</v>
      </c>
      <c r="X64">
        <f>IF(ISNUMBER(SEARCH('1Př1'!$A$34,N64)),MAX($M$2:M63)+1,0)</f>
        <v>62</v>
      </c>
      <c r="Y64" s="325" t="s">
        <v>1060</v>
      </c>
      <c r="Z64" t="str">
        <f>IFERROR(VLOOKUP(ROWS($Z$3:Z64),$X$3:$Y$992,2,0),"")</f>
        <v>Těžba a úprava hnědého uhlí</v>
      </c>
    </row>
    <row r="65" spans="1:26" ht="12.75" customHeight="1">
      <c r="A65" s="301"/>
      <c r="B65" s="301"/>
      <c r="C65" s="301"/>
      <c r="D65" s="317">
        <f>IF(ISNUMBER(SEARCH(ZAKL_DATA!$B$14,E65)),MAX($D$2:D64)+1,0)</f>
        <v>63</v>
      </c>
      <c r="E65" s="330" t="s">
        <v>1062</v>
      </c>
      <c r="F65" s="331">
        <v>2308</v>
      </c>
      <c r="G65" s="332"/>
      <c r="H65" s="333" t="str">
        <f>IFERROR(VLOOKUP(ROWS($H$3:H65),$D$3:$E$204,2,0),"")</f>
        <v>KLATOVY</v>
      </c>
      <c r="I65" s="301"/>
      <c r="J65" s="335" t="s">
        <v>1063</v>
      </c>
      <c r="K65" s="323" t="s">
        <v>736</v>
      </c>
      <c r="M65" s="324">
        <f>IF(ISNUMBER(SEARCH(ZAKL_DATA!$B$29,N65)),MAX($M$2:M64)+1,0)</f>
        <v>63</v>
      </c>
      <c r="N65" s="325" t="s">
        <v>1064</v>
      </c>
      <c r="O65" s="326" t="s">
        <v>1065</v>
      </c>
      <c r="Q65" s="327" t="str">
        <f>IFERROR(VLOOKUP(ROWS($Q$3:Q65),$M$3:$N$992,2,0),"")</f>
        <v>Poštovní a kurýrní činnosti</v>
      </c>
      <c r="R65">
        <f>IF(ISNUMBER(SEARCH('1Př1'!$A$32,N65)),MAX($M$2:M64)+1,0)</f>
        <v>63</v>
      </c>
      <c r="S65" s="325" t="s">
        <v>1064</v>
      </c>
      <c r="T65" t="str">
        <f>IFERROR(VLOOKUP(ROWS($T$3:T65),$R$3:$S$992,2,0),"")</f>
        <v>Poštovní a kurýrní činnosti</v>
      </c>
      <c r="U65">
        <f>IF(ISNUMBER(SEARCH('1Př1'!$A$33,N65)),MAX($M$2:M64)+1,0)</f>
        <v>63</v>
      </c>
      <c r="V65" s="325" t="s">
        <v>1064</v>
      </c>
      <c r="W65" t="str">
        <f>IFERROR(VLOOKUP(ROWS($W$3:W65),$U$3:$V$992,2,0),"")</f>
        <v>Poštovní a kurýrní činnosti</v>
      </c>
      <c r="X65">
        <f>IF(ISNUMBER(SEARCH('1Př1'!$A$34,N65)),MAX($M$2:M64)+1,0)</f>
        <v>63</v>
      </c>
      <c r="Y65" s="325" t="s">
        <v>1064</v>
      </c>
      <c r="Z65" t="str">
        <f>IFERROR(VLOOKUP(ROWS($Z$3:Z65),$X$3:$Y$992,2,0),"")</f>
        <v>Poštovní a kurýrní činnosti</v>
      </c>
    </row>
    <row r="66" spans="1:26" ht="12.75" customHeight="1">
      <c r="A66" s="301"/>
      <c r="B66" s="301"/>
      <c r="C66" s="301"/>
      <c r="D66" s="317">
        <f>IF(ISNUMBER(SEARCH(ZAKL_DATA!$B$14,E66)),MAX($D$2:D65)+1,0)</f>
        <v>64</v>
      </c>
      <c r="E66" s="330" t="s">
        <v>1066</v>
      </c>
      <c r="F66" s="331">
        <v>2309</v>
      </c>
      <c r="G66" s="332"/>
      <c r="H66" s="333" t="str">
        <f>IFERROR(VLOOKUP(ROWS($H$3:H66),$D$3:$E$204,2,0),"")</f>
        <v>KRALOVICE</v>
      </c>
      <c r="I66" s="301"/>
      <c r="J66" s="335" t="s">
        <v>1067</v>
      </c>
      <c r="K66" s="323" t="s">
        <v>1068</v>
      </c>
      <c r="M66" s="324">
        <f>IF(ISNUMBER(SEARCH(ZAKL_DATA!$B$29,N66)),MAX($M$2:M65)+1,0)</f>
        <v>64</v>
      </c>
      <c r="N66" s="325" t="s">
        <v>1069</v>
      </c>
      <c r="O66" s="326" t="s">
        <v>1070</v>
      </c>
      <c r="Q66" s="327" t="str">
        <f>IFERROR(VLOOKUP(ROWS($Q$3:Q66),$M$3:$N$992,2,0),"")</f>
        <v>Ubytování</v>
      </c>
      <c r="R66">
        <f>IF(ISNUMBER(SEARCH('1Př1'!$A$32,N66)),MAX($M$2:M65)+1,0)</f>
        <v>64</v>
      </c>
      <c r="S66" s="325" t="s">
        <v>1069</v>
      </c>
      <c r="T66" t="str">
        <f>IFERROR(VLOOKUP(ROWS($T$3:T66),$R$3:$S$992,2,0),"")</f>
        <v>Ubytování</v>
      </c>
      <c r="U66">
        <f>IF(ISNUMBER(SEARCH('1Př1'!$A$33,N66)),MAX($M$2:M65)+1,0)</f>
        <v>64</v>
      </c>
      <c r="V66" s="325" t="s">
        <v>1069</v>
      </c>
      <c r="W66" t="str">
        <f>IFERROR(VLOOKUP(ROWS($W$3:W66),$U$3:$V$992,2,0),"")</f>
        <v>Ubytování</v>
      </c>
      <c r="X66">
        <f>IF(ISNUMBER(SEARCH('1Př1'!$A$34,N66)),MAX($M$2:M65)+1,0)</f>
        <v>64</v>
      </c>
      <c r="Y66" s="325" t="s">
        <v>1069</v>
      </c>
      <c r="Z66" t="str">
        <f>IFERROR(VLOOKUP(ROWS($Z$3:Z66),$X$3:$Y$992,2,0),"")</f>
        <v>Ubytování</v>
      </c>
    </row>
    <row r="67" spans="1:26" ht="12.75" customHeight="1">
      <c r="A67" s="301"/>
      <c r="B67" s="301"/>
      <c r="C67" s="301"/>
      <c r="D67" s="317">
        <f>IF(ISNUMBER(SEARCH(ZAKL_DATA!$B$14,E67)),MAX($D$2:D66)+1,0)</f>
        <v>65</v>
      </c>
      <c r="E67" s="330" t="s">
        <v>1071</v>
      </c>
      <c r="F67" s="331">
        <v>2310</v>
      </c>
      <c r="G67" s="332"/>
      <c r="H67" s="333" t="str">
        <f>IFERROR(VLOOKUP(ROWS($H$3:H67),$D$3:$E$204,2,0),"")</f>
        <v>NEPOMUK</v>
      </c>
      <c r="I67" s="301"/>
      <c r="J67" s="335" t="s">
        <v>1072</v>
      </c>
      <c r="K67" s="323" t="s">
        <v>1073</v>
      </c>
      <c r="M67" s="324">
        <f>IF(ISNUMBER(SEARCH(ZAKL_DATA!$B$29,N67)),MAX($M$2:M66)+1,0)</f>
        <v>65</v>
      </c>
      <c r="N67" s="325" t="s">
        <v>1074</v>
      </c>
      <c r="O67" s="326" t="s">
        <v>1075</v>
      </c>
      <c r="Q67" s="327" t="str">
        <f>IFERROR(VLOOKUP(ROWS($Q$3:Q67),$M$3:$N$992,2,0),"")</f>
        <v>Stravování a pohostinství</v>
      </c>
      <c r="R67">
        <f>IF(ISNUMBER(SEARCH('1Př1'!$A$32,N67)),MAX($M$2:M66)+1,0)</f>
        <v>65</v>
      </c>
      <c r="S67" s="325" t="s">
        <v>1074</v>
      </c>
      <c r="T67" t="str">
        <f>IFERROR(VLOOKUP(ROWS($T$3:T67),$R$3:$S$992,2,0),"")</f>
        <v>Stravování a pohostinství</v>
      </c>
      <c r="U67">
        <f>IF(ISNUMBER(SEARCH('1Př1'!$A$33,N67)),MAX($M$2:M66)+1,0)</f>
        <v>65</v>
      </c>
      <c r="V67" s="325" t="s">
        <v>1074</v>
      </c>
      <c r="W67" t="str">
        <f>IFERROR(VLOOKUP(ROWS($W$3:W67),$U$3:$V$992,2,0),"")</f>
        <v>Stravování a pohostinství</v>
      </c>
      <c r="X67">
        <f>IF(ISNUMBER(SEARCH('1Př1'!$A$34,N67)),MAX($M$2:M66)+1,0)</f>
        <v>65</v>
      </c>
      <c r="Y67" s="325" t="s">
        <v>1074</v>
      </c>
      <c r="Z67" t="str">
        <f>IFERROR(VLOOKUP(ROWS($Z$3:Z67),$X$3:$Y$992,2,0),"")</f>
        <v>Stravování a pohostinství</v>
      </c>
    </row>
    <row r="68" spans="1:26" ht="12.75" customHeight="1">
      <c r="A68" s="301"/>
      <c r="B68" s="301"/>
      <c r="C68" s="301"/>
      <c r="D68" s="317">
        <f>IF(ISNUMBER(SEARCH(ZAKL_DATA!$B$14,E68)),MAX($D$2:D67)+1,0)</f>
        <v>66</v>
      </c>
      <c r="E68" s="330" t="s">
        <v>1076</v>
      </c>
      <c r="F68" s="331">
        <v>2311</v>
      </c>
      <c r="G68" s="332"/>
      <c r="H68" s="333" t="str">
        <f>IFERROR(VLOOKUP(ROWS($H$3:H68),$D$3:$E$204,2,0),"")</f>
        <v>PŘEŠTICE</v>
      </c>
      <c r="I68" s="301"/>
      <c r="J68" s="335" t="s">
        <v>1077</v>
      </c>
      <c r="K68" s="323" t="s">
        <v>1078</v>
      </c>
      <c r="M68" s="324">
        <f>IF(ISNUMBER(SEARCH(ZAKL_DATA!$B$29,N68)),MAX($M$2:M67)+1,0)</f>
        <v>66</v>
      </c>
      <c r="N68" s="325" t="s">
        <v>1079</v>
      </c>
      <c r="O68" s="326" t="s">
        <v>1080</v>
      </c>
      <c r="Q68" s="327" t="str">
        <f>IFERROR(VLOOKUP(ROWS($Q$3:Q68),$M$3:$N$992,2,0),"")</f>
        <v>Vydavatelské činnosti</v>
      </c>
      <c r="R68">
        <f>IF(ISNUMBER(SEARCH('1Př1'!$A$32,N68)),MAX($M$2:M67)+1,0)</f>
        <v>66</v>
      </c>
      <c r="S68" s="325" t="s">
        <v>1079</v>
      </c>
      <c r="T68" t="str">
        <f>IFERROR(VLOOKUP(ROWS($T$3:T68),$R$3:$S$992,2,0),"")</f>
        <v>Vydavatelské činnosti</v>
      </c>
      <c r="U68">
        <f>IF(ISNUMBER(SEARCH('1Př1'!$A$33,N68)),MAX($M$2:M67)+1,0)</f>
        <v>66</v>
      </c>
      <c r="V68" s="325" t="s">
        <v>1079</v>
      </c>
      <c r="W68" t="str">
        <f>IFERROR(VLOOKUP(ROWS($W$3:W68),$U$3:$V$992,2,0),"")</f>
        <v>Vydavatelské činnosti</v>
      </c>
      <c r="X68">
        <f>IF(ISNUMBER(SEARCH('1Př1'!$A$34,N68)),MAX($M$2:M67)+1,0)</f>
        <v>66</v>
      </c>
      <c r="Y68" s="325" t="s">
        <v>1079</v>
      </c>
      <c r="Z68" t="str">
        <f>IFERROR(VLOOKUP(ROWS($Z$3:Z68),$X$3:$Y$992,2,0),"")</f>
        <v>Vydavatelské činnosti</v>
      </c>
    </row>
    <row r="69" spans="1:26" ht="12.75" customHeight="1">
      <c r="A69" s="301"/>
      <c r="B69" s="301"/>
      <c r="C69" s="301"/>
      <c r="D69" s="317">
        <f>IF(ISNUMBER(SEARCH(ZAKL_DATA!$B$14,E69)),MAX($D$2:D68)+1,0)</f>
        <v>67</v>
      </c>
      <c r="E69" s="330" t="s">
        <v>1081</v>
      </c>
      <c r="F69" s="331">
        <v>2312</v>
      </c>
      <c r="G69" s="332"/>
      <c r="H69" s="333" t="str">
        <f>IFERROR(VLOOKUP(ROWS($H$3:H69),$D$3:$E$204,2,0),"")</f>
        <v>ROKYCANY</v>
      </c>
      <c r="I69" s="301"/>
      <c r="J69" s="335" t="s">
        <v>1082</v>
      </c>
      <c r="K69" s="323" t="s">
        <v>1083</v>
      </c>
      <c r="M69" s="324">
        <f>IF(ISNUMBER(SEARCH(ZAKL_DATA!$B$29,N69)),MAX($M$2:M68)+1,0)</f>
        <v>67</v>
      </c>
      <c r="N69" s="325" t="s">
        <v>1084</v>
      </c>
      <c r="O69" s="326" t="s">
        <v>1085</v>
      </c>
      <c r="Q69" s="327" t="str">
        <f>IFERROR(VLOOKUP(ROWS($Q$3:Q69),$M$3:$N$992,2,0),"")</f>
        <v>Čin.v obl.filmů,videozázn.a tel.programů,pořiz.zvuk.nahr.a hudeb.vyd.čin.</v>
      </c>
      <c r="R69">
        <f>IF(ISNUMBER(SEARCH('1Př1'!$A$32,N69)),MAX($M$2:M68)+1,0)</f>
        <v>67</v>
      </c>
      <c r="S69" s="325" t="s">
        <v>1084</v>
      </c>
      <c r="T69" t="str">
        <f>IFERROR(VLOOKUP(ROWS($T$3:T69),$R$3:$S$992,2,0),"")</f>
        <v>Čin.v obl.filmů,videozázn.a tel.programů,pořiz.zvuk.nahr.a hudeb.vyd.čin.</v>
      </c>
      <c r="U69">
        <f>IF(ISNUMBER(SEARCH('1Př1'!$A$33,N69)),MAX($M$2:M68)+1,0)</f>
        <v>67</v>
      </c>
      <c r="V69" s="325" t="s">
        <v>1084</v>
      </c>
      <c r="W69" t="str">
        <f>IFERROR(VLOOKUP(ROWS($W$3:W69),$U$3:$V$992,2,0),"")</f>
        <v>Čin.v obl.filmů,videozázn.a tel.programů,pořiz.zvuk.nahr.a hudeb.vyd.čin.</v>
      </c>
      <c r="X69">
        <f>IF(ISNUMBER(SEARCH('1Př1'!$A$34,N69)),MAX($M$2:M68)+1,0)</f>
        <v>67</v>
      </c>
      <c r="Y69" s="325" t="s">
        <v>1084</v>
      </c>
      <c r="Z69" t="str">
        <f>IFERROR(VLOOKUP(ROWS($Z$3:Z69),$X$3:$Y$992,2,0),"")</f>
        <v>Čin.v obl.filmů,videozázn.a tel.programů,pořiz.zvuk.nahr.a hudeb.vyd.čin.</v>
      </c>
    </row>
    <row r="70" spans="1:26" ht="12.75" customHeight="1">
      <c r="A70" s="301"/>
      <c r="B70" s="301"/>
      <c r="C70" s="301"/>
      <c r="D70" s="317">
        <f>IF(ISNUMBER(SEARCH(ZAKL_DATA!$B$14,E70)),MAX($D$2:D69)+1,0)</f>
        <v>68</v>
      </c>
      <c r="E70" s="330" t="s">
        <v>1086</v>
      </c>
      <c r="F70" s="331">
        <v>2313</v>
      </c>
      <c r="G70" s="332"/>
      <c r="H70" s="333" t="str">
        <f>IFERROR(VLOOKUP(ROWS($H$3:H70),$D$3:$E$204,2,0),"")</f>
        <v>TACHOV</v>
      </c>
      <c r="I70" s="301"/>
      <c r="J70" s="335" t="s">
        <v>1087</v>
      </c>
      <c r="K70" s="323" t="s">
        <v>1088</v>
      </c>
      <c r="M70" s="324">
        <f>IF(ISNUMBER(SEARCH(ZAKL_DATA!$B$29,N70)),MAX($M$2:M69)+1,0)</f>
        <v>68</v>
      </c>
      <c r="N70" s="325" t="s">
        <v>1089</v>
      </c>
      <c r="O70" s="326" t="s">
        <v>1090</v>
      </c>
      <c r="Q70" s="327" t="str">
        <f>IFERROR(VLOOKUP(ROWS($Q$3:Q70),$M$3:$N$992,2,0),"")</f>
        <v>Tvorba programů a vysílání</v>
      </c>
      <c r="R70">
        <f>IF(ISNUMBER(SEARCH('1Př1'!$A$32,N70)),MAX($M$2:M69)+1,0)</f>
        <v>68</v>
      </c>
      <c r="S70" s="325" t="s">
        <v>1089</v>
      </c>
      <c r="T70" t="str">
        <f>IFERROR(VLOOKUP(ROWS($T$3:T70),$R$3:$S$992,2,0),"")</f>
        <v>Tvorba programů a vysílání</v>
      </c>
      <c r="U70">
        <f>IF(ISNUMBER(SEARCH('1Př1'!$A$33,N70)),MAX($M$2:M69)+1,0)</f>
        <v>68</v>
      </c>
      <c r="V70" s="325" t="s">
        <v>1089</v>
      </c>
      <c r="W70" t="str">
        <f>IFERROR(VLOOKUP(ROWS($W$3:W70),$U$3:$V$992,2,0),"")</f>
        <v>Tvorba programů a vysílání</v>
      </c>
      <c r="X70">
        <f>IF(ISNUMBER(SEARCH('1Př1'!$A$34,N70)),MAX($M$2:M69)+1,0)</f>
        <v>68</v>
      </c>
      <c r="Y70" s="325" t="s">
        <v>1089</v>
      </c>
      <c r="Z70" t="str">
        <f>IFERROR(VLOOKUP(ROWS($Z$3:Z70),$X$3:$Y$992,2,0),"")</f>
        <v>Tvorba programů a vysílání</v>
      </c>
    </row>
    <row r="71" spans="1:26" ht="12.75" customHeight="1">
      <c r="A71" s="301"/>
      <c r="B71" s="301"/>
      <c r="C71" s="301"/>
      <c r="D71" s="317">
        <f>IF(ISNUMBER(SEARCH(ZAKL_DATA!$B$14,E71)),MAX($D$2:D70)+1,0)</f>
        <v>69</v>
      </c>
      <c r="E71" s="330" t="s">
        <v>1091</v>
      </c>
      <c r="F71" s="331">
        <v>2314</v>
      </c>
      <c r="G71" s="332"/>
      <c r="H71" s="333" t="str">
        <f>IFERROR(VLOOKUP(ROWS($H$3:H71),$D$3:$E$204,2,0),"")</f>
        <v>STŘÍBRO</v>
      </c>
      <c r="I71" s="301"/>
      <c r="J71" s="335" t="s">
        <v>1092</v>
      </c>
      <c r="K71" s="323" t="s">
        <v>1093</v>
      </c>
      <c r="M71" s="324">
        <f>IF(ISNUMBER(SEARCH(ZAKL_DATA!$B$29,N71)),MAX($M$2:M70)+1,0)</f>
        <v>69</v>
      </c>
      <c r="N71" s="325" t="s">
        <v>1094</v>
      </c>
      <c r="O71" s="326" t="s">
        <v>1095</v>
      </c>
      <c r="Q71" s="327" t="str">
        <f>IFERROR(VLOOKUP(ROWS($Q$3:Q71),$M$3:$N$992,2,0),"")</f>
        <v>Telekomunikační činnosti</v>
      </c>
      <c r="R71">
        <f>IF(ISNUMBER(SEARCH('1Př1'!$A$32,N71)),MAX($M$2:M70)+1,0)</f>
        <v>69</v>
      </c>
      <c r="S71" s="325" t="s">
        <v>1094</v>
      </c>
      <c r="T71" t="str">
        <f>IFERROR(VLOOKUP(ROWS($T$3:T71),$R$3:$S$992,2,0),"")</f>
        <v>Telekomunikační činnosti</v>
      </c>
      <c r="U71">
        <f>IF(ISNUMBER(SEARCH('1Př1'!$A$33,N71)),MAX($M$2:M70)+1,0)</f>
        <v>69</v>
      </c>
      <c r="V71" s="325" t="s">
        <v>1094</v>
      </c>
      <c r="W71" t="str">
        <f>IFERROR(VLOOKUP(ROWS($W$3:W71),$U$3:$V$992,2,0),"")</f>
        <v>Telekomunikační činnosti</v>
      </c>
      <c r="X71">
        <f>IF(ISNUMBER(SEARCH('1Př1'!$A$34,N71)),MAX($M$2:M70)+1,0)</f>
        <v>69</v>
      </c>
      <c r="Y71" s="325" t="s">
        <v>1094</v>
      </c>
      <c r="Z71" t="str">
        <f>IFERROR(VLOOKUP(ROWS($Z$3:Z71),$X$3:$Y$992,2,0),"")</f>
        <v>Telekomunikační činnosti</v>
      </c>
    </row>
    <row r="72" spans="1:26" ht="12.75" customHeight="1">
      <c r="A72" s="301"/>
      <c r="B72" s="301"/>
      <c r="C72" s="301"/>
      <c r="D72" s="317">
        <f>IF(ISNUMBER(SEARCH(ZAKL_DATA!$B$14,E72)),MAX($D$2:D71)+1,0)</f>
        <v>70</v>
      </c>
      <c r="E72" s="330" t="s">
        <v>1096</v>
      </c>
      <c r="F72" s="331">
        <v>2315</v>
      </c>
      <c r="G72" s="332"/>
      <c r="H72" s="333" t="str">
        <f>IFERROR(VLOOKUP(ROWS($H$3:H72),$D$3:$E$204,2,0),"")</f>
        <v>SUŠICE</v>
      </c>
      <c r="I72" s="301"/>
      <c r="J72" s="335" t="s">
        <v>1097</v>
      </c>
      <c r="K72" s="323" t="s">
        <v>1098</v>
      </c>
      <c r="M72" s="324">
        <f>IF(ISNUMBER(SEARCH(ZAKL_DATA!$B$29,N72)),MAX($M$2:M71)+1,0)</f>
        <v>70</v>
      </c>
      <c r="N72" s="325" t="s">
        <v>1099</v>
      </c>
      <c r="O72" s="326" t="s">
        <v>1100</v>
      </c>
      <c r="Q72" s="327" t="str">
        <f>IFERROR(VLOOKUP(ROWS($Q$3:Q72),$M$3:$N$992,2,0),"")</f>
        <v>Těžba ropy</v>
      </c>
      <c r="R72">
        <f>IF(ISNUMBER(SEARCH('1Př1'!$A$32,N72)),MAX($M$2:M71)+1,0)</f>
        <v>70</v>
      </c>
      <c r="S72" s="325" t="s">
        <v>1099</v>
      </c>
      <c r="T72" t="str">
        <f>IFERROR(VLOOKUP(ROWS($T$3:T72),$R$3:$S$992,2,0),"")</f>
        <v>Těžba ropy</v>
      </c>
      <c r="U72">
        <f>IF(ISNUMBER(SEARCH('1Př1'!$A$33,N72)),MAX($M$2:M71)+1,0)</f>
        <v>70</v>
      </c>
      <c r="V72" s="325" t="s">
        <v>1099</v>
      </c>
      <c r="W72" t="str">
        <f>IFERROR(VLOOKUP(ROWS($W$3:W72),$U$3:$V$992,2,0),"")</f>
        <v>Těžba ropy</v>
      </c>
      <c r="X72">
        <f>IF(ISNUMBER(SEARCH('1Př1'!$A$34,N72)),MAX($M$2:M71)+1,0)</f>
        <v>70</v>
      </c>
      <c r="Y72" s="325" t="s">
        <v>1099</v>
      </c>
      <c r="Z72" t="str">
        <f>IFERROR(VLOOKUP(ROWS($Z$3:Z72),$X$3:$Y$992,2,0),"")</f>
        <v>Těžba ropy</v>
      </c>
    </row>
    <row r="73" spans="1:26" ht="12.75" customHeight="1">
      <c r="A73" s="301"/>
      <c r="B73" s="301"/>
      <c r="C73" s="301"/>
      <c r="D73" s="317">
        <f>IF(ISNUMBER(SEARCH(ZAKL_DATA!$B$14,E73)),MAX($D$2:D72)+1,0)</f>
        <v>71</v>
      </c>
      <c r="E73" s="330" t="s">
        <v>1101</v>
      </c>
      <c r="F73" s="331">
        <v>2401</v>
      </c>
      <c r="G73" s="332"/>
      <c r="H73" s="333" t="str">
        <f>IFERROR(VLOOKUP(ROWS($H$3:H73),$D$3:$E$204,2,0),"")</f>
        <v>KARLOVY VARY</v>
      </c>
      <c r="I73" s="301"/>
      <c r="J73" s="335" t="s">
        <v>1102</v>
      </c>
      <c r="K73" s="323" t="s">
        <v>1103</v>
      </c>
      <c r="M73" s="324">
        <f>IF(ISNUMBER(SEARCH(ZAKL_DATA!$B$29,N73)),MAX($M$2:M72)+1,0)</f>
        <v>71</v>
      </c>
      <c r="N73" s="325" t="s">
        <v>1104</v>
      </c>
      <c r="O73" s="326" t="s">
        <v>1105</v>
      </c>
      <c r="Q73" s="327" t="str">
        <f>IFERROR(VLOOKUP(ROWS($Q$3:Q73),$M$3:$N$992,2,0),"")</f>
        <v>Činnosti v oblasti informačních technologií</v>
      </c>
      <c r="R73">
        <f>IF(ISNUMBER(SEARCH('1Př1'!$A$32,N73)),MAX($M$2:M72)+1,0)</f>
        <v>71</v>
      </c>
      <c r="S73" s="325" t="s">
        <v>1104</v>
      </c>
      <c r="T73" t="str">
        <f>IFERROR(VLOOKUP(ROWS($T$3:T73),$R$3:$S$992,2,0),"")</f>
        <v>Činnosti v oblasti informačních technologií</v>
      </c>
      <c r="U73">
        <f>IF(ISNUMBER(SEARCH('1Př1'!$A$33,N73)),MAX($M$2:M72)+1,0)</f>
        <v>71</v>
      </c>
      <c r="V73" s="325" t="s">
        <v>1104</v>
      </c>
      <c r="W73" t="str">
        <f>IFERROR(VLOOKUP(ROWS($W$3:W73),$U$3:$V$992,2,0),"")</f>
        <v>Činnosti v oblasti informačních technologií</v>
      </c>
      <c r="X73">
        <f>IF(ISNUMBER(SEARCH('1Př1'!$A$34,N73)),MAX($M$2:M72)+1,0)</f>
        <v>71</v>
      </c>
      <c r="Y73" s="325" t="s">
        <v>1104</v>
      </c>
      <c r="Z73" t="str">
        <f>IFERROR(VLOOKUP(ROWS($Z$3:Z73),$X$3:$Y$992,2,0),"")</f>
        <v>Činnosti v oblasti informačních technologií</v>
      </c>
    </row>
    <row r="74" spans="1:26" ht="12.75" customHeight="1">
      <c r="A74" s="301"/>
      <c r="B74" s="301"/>
      <c r="C74" s="301"/>
      <c r="D74" s="317">
        <f>IF(ISNUMBER(SEARCH(ZAKL_DATA!$B$14,E74)),MAX($D$2:D73)+1,0)</f>
        <v>72</v>
      </c>
      <c r="E74" s="330" t="s">
        <v>1106</v>
      </c>
      <c r="F74" s="331">
        <v>2402</v>
      </c>
      <c r="G74" s="332"/>
      <c r="H74" s="333" t="str">
        <f>IFERROR(VLOOKUP(ROWS($H$3:H74),$D$3:$E$204,2,0),"")</f>
        <v>AŠ</v>
      </c>
      <c r="I74" s="301"/>
      <c r="J74" s="335" t="s">
        <v>1107</v>
      </c>
      <c r="K74" s="323" t="s">
        <v>1108</v>
      </c>
      <c r="M74" s="324">
        <f>IF(ISNUMBER(SEARCH(ZAKL_DATA!$B$29,N74)),MAX($M$2:M73)+1,0)</f>
        <v>72</v>
      </c>
      <c r="N74" s="325" t="s">
        <v>1109</v>
      </c>
      <c r="O74" s="326" t="s">
        <v>1110</v>
      </c>
      <c r="Q74" s="327" t="str">
        <f>IFERROR(VLOOKUP(ROWS($Q$3:Q74),$M$3:$N$992,2,0),"")</f>
        <v>Těžba zemního plynu</v>
      </c>
      <c r="R74">
        <f>IF(ISNUMBER(SEARCH('1Př1'!$A$32,N74)),MAX($M$2:M73)+1,0)</f>
        <v>72</v>
      </c>
      <c r="S74" s="325" t="s">
        <v>1109</v>
      </c>
      <c r="T74" t="str">
        <f>IFERROR(VLOOKUP(ROWS($T$3:T74),$R$3:$S$992,2,0),"")</f>
        <v>Těžba zemního plynu</v>
      </c>
      <c r="U74">
        <f>IF(ISNUMBER(SEARCH('1Př1'!$A$33,N74)),MAX($M$2:M73)+1,0)</f>
        <v>72</v>
      </c>
      <c r="V74" s="325" t="s">
        <v>1109</v>
      </c>
      <c r="W74" t="str">
        <f>IFERROR(VLOOKUP(ROWS($W$3:W74),$U$3:$V$992,2,0),"")</f>
        <v>Těžba zemního plynu</v>
      </c>
      <c r="X74">
        <f>IF(ISNUMBER(SEARCH('1Př1'!$A$34,N74)),MAX($M$2:M73)+1,0)</f>
        <v>72</v>
      </c>
      <c r="Y74" s="325" t="s">
        <v>1109</v>
      </c>
      <c r="Z74" t="str">
        <f>IFERROR(VLOOKUP(ROWS($Z$3:Z74),$X$3:$Y$992,2,0),"")</f>
        <v>Těžba zemního plynu</v>
      </c>
    </row>
    <row r="75" spans="1:26" ht="12.75" customHeight="1">
      <c r="A75" s="301"/>
      <c r="B75" s="301"/>
      <c r="C75" s="301"/>
      <c r="D75" s="317">
        <f>IF(ISNUMBER(SEARCH(ZAKL_DATA!$B$14,E75)),MAX($D$2:D74)+1,0)</f>
        <v>73</v>
      </c>
      <c r="E75" s="330" t="s">
        <v>1111</v>
      </c>
      <c r="F75" s="331">
        <v>2403</v>
      </c>
      <c r="G75" s="332"/>
      <c r="H75" s="333" t="str">
        <f>IFERROR(VLOOKUP(ROWS($H$3:H75),$D$3:$E$204,2,0),"")</f>
        <v>CHEB</v>
      </c>
      <c r="I75" s="301"/>
      <c r="J75" s="335" t="s">
        <v>1112</v>
      </c>
      <c r="K75" s="323" t="s">
        <v>1113</v>
      </c>
      <c r="M75" s="324">
        <f>IF(ISNUMBER(SEARCH(ZAKL_DATA!$B$29,N75)),MAX($M$2:M74)+1,0)</f>
        <v>73</v>
      </c>
      <c r="N75" s="325" t="s">
        <v>1114</v>
      </c>
      <c r="O75" s="326" t="s">
        <v>1115</v>
      </c>
      <c r="Q75" s="327" t="str">
        <f>IFERROR(VLOOKUP(ROWS($Q$3:Q75),$M$3:$N$992,2,0),"")</f>
        <v>Informační činnosti</v>
      </c>
      <c r="R75">
        <f>IF(ISNUMBER(SEARCH('1Př1'!$A$32,N75)),MAX($M$2:M74)+1,0)</f>
        <v>73</v>
      </c>
      <c r="S75" s="325" t="s">
        <v>1114</v>
      </c>
      <c r="T75" t="str">
        <f>IFERROR(VLOOKUP(ROWS($T$3:T75),$R$3:$S$992,2,0),"")</f>
        <v>Informační činnosti</v>
      </c>
      <c r="U75">
        <f>IF(ISNUMBER(SEARCH('1Př1'!$A$33,N75)),MAX($M$2:M74)+1,0)</f>
        <v>73</v>
      </c>
      <c r="V75" s="325" t="s">
        <v>1114</v>
      </c>
      <c r="W75" t="str">
        <f>IFERROR(VLOOKUP(ROWS($W$3:W75),$U$3:$V$992,2,0),"")</f>
        <v>Informační činnosti</v>
      </c>
      <c r="X75">
        <f>IF(ISNUMBER(SEARCH('1Př1'!$A$34,N75)),MAX($M$2:M74)+1,0)</f>
        <v>73</v>
      </c>
      <c r="Y75" s="325" t="s">
        <v>1114</v>
      </c>
      <c r="Z75" t="str">
        <f>IFERROR(VLOOKUP(ROWS($Z$3:Z75),$X$3:$Y$992,2,0),"")</f>
        <v>Informační činnosti</v>
      </c>
    </row>
    <row r="76" spans="1:26" ht="12.75" customHeight="1">
      <c r="A76" s="301"/>
      <c r="B76" s="301"/>
      <c r="C76" s="301"/>
      <c r="D76" s="317">
        <f>IF(ISNUMBER(SEARCH(ZAKL_DATA!$B$14,E76)),MAX($D$2:D75)+1,0)</f>
        <v>74</v>
      </c>
      <c r="E76" s="330" t="s">
        <v>1116</v>
      </c>
      <c r="F76" s="331">
        <v>2404</v>
      </c>
      <c r="G76" s="332"/>
      <c r="H76" s="333" t="str">
        <f>IFERROR(VLOOKUP(ROWS($H$3:H76),$D$3:$E$204,2,0),"")</f>
        <v>KRASLICE</v>
      </c>
      <c r="I76" s="301"/>
      <c r="J76" s="335" t="s">
        <v>1117</v>
      </c>
      <c r="K76" s="323" t="s">
        <v>1118</v>
      </c>
      <c r="M76" s="324">
        <f>IF(ISNUMBER(SEARCH(ZAKL_DATA!$B$29,N76)),MAX($M$2:M75)+1,0)</f>
        <v>74</v>
      </c>
      <c r="N76" s="325" t="s">
        <v>1119</v>
      </c>
      <c r="O76" s="326" t="s">
        <v>1120</v>
      </c>
      <c r="Q76" s="327" t="str">
        <f>IFERROR(VLOOKUP(ROWS($Q$3:Q76),$M$3:$N$992,2,0),"")</f>
        <v>Finanční zprostředkování, kromě pojišťovnictví a penzijního financování</v>
      </c>
      <c r="R76">
        <f>IF(ISNUMBER(SEARCH('1Př1'!$A$32,N76)),MAX($M$2:M75)+1,0)</f>
        <v>74</v>
      </c>
      <c r="S76" s="325" t="s">
        <v>1119</v>
      </c>
      <c r="T76" t="str">
        <f>IFERROR(VLOOKUP(ROWS($T$3:T76),$R$3:$S$992,2,0),"")</f>
        <v>Finanční zprostředkování, kromě pojišťovnictví a penzijního financování</v>
      </c>
      <c r="U76">
        <f>IF(ISNUMBER(SEARCH('1Př1'!$A$33,N76)),MAX($M$2:M75)+1,0)</f>
        <v>74</v>
      </c>
      <c r="V76" s="325" t="s">
        <v>1119</v>
      </c>
      <c r="W76" t="str">
        <f>IFERROR(VLOOKUP(ROWS($W$3:W76),$U$3:$V$992,2,0),"")</f>
        <v>Finanční zprostředkování, kromě pojišťovnictví a penzijního financování</v>
      </c>
      <c r="X76">
        <f>IF(ISNUMBER(SEARCH('1Př1'!$A$34,N76)),MAX($M$2:M75)+1,0)</f>
        <v>74</v>
      </c>
      <c r="Y76" s="325" t="s">
        <v>1119</v>
      </c>
      <c r="Z76" t="str">
        <f>IFERROR(VLOOKUP(ROWS($Z$3:Z76),$X$3:$Y$992,2,0),"")</f>
        <v>Finanční zprostředkování, kromě pojišťovnictví a penzijního financování</v>
      </c>
    </row>
    <row r="77" spans="1:26" ht="12.75" customHeight="1">
      <c r="A77" s="301"/>
      <c r="B77" s="301"/>
      <c r="C77" s="301"/>
      <c r="D77" s="317">
        <f>IF(ISNUMBER(SEARCH(ZAKL_DATA!$B$14,E77)),MAX($D$2:D76)+1,0)</f>
        <v>75</v>
      </c>
      <c r="E77" s="330" t="s">
        <v>1121</v>
      </c>
      <c r="F77" s="331">
        <v>2405</v>
      </c>
      <c r="G77" s="332"/>
      <c r="H77" s="333" t="str">
        <f>IFERROR(VLOOKUP(ROWS($H$3:H77),$D$3:$E$204,2,0),"")</f>
        <v>MARIÁNSKÉ LÁZNĚ</v>
      </c>
      <c r="I77" s="301"/>
      <c r="J77" s="335" t="s">
        <v>1122</v>
      </c>
      <c r="K77" s="323" t="s">
        <v>1123</v>
      </c>
      <c r="M77" s="324">
        <f>IF(ISNUMBER(SEARCH(ZAKL_DATA!$B$29,N77)),MAX($M$2:M76)+1,0)</f>
        <v>75</v>
      </c>
      <c r="N77" s="325" t="s">
        <v>1124</v>
      </c>
      <c r="O77" s="326" t="s">
        <v>1125</v>
      </c>
      <c r="Q77" s="327" t="str">
        <f>IFERROR(VLOOKUP(ROWS($Q$3:Q77),$M$3:$N$992,2,0),"")</f>
        <v>Pojištění,zajištění a penzijní financování,kromě povinného soc.zabezpečení</v>
      </c>
      <c r="R77">
        <f>IF(ISNUMBER(SEARCH('1Př1'!$A$32,N77)),MAX($M$2:M76)+1,0)</f>
        <v>75</v>
      </c>
      <c r="S77" s="325" t="s">
        <v>1124</v>
      </c>
      <c r="T77" t="str">
        <f>IFERROR(VLOOKUP(ROWS($T$3:T77),$R$3:$S$992,2,0),"")</f>
        <v>Pojištění,zajištění a penzijní financování,kromě povinného soc.zabezpečení</v>
      </c>
      <c r="U77">
        <f>IF(ISNUMBER(SEARCH('1Př1'!$A$33,N77)),MAX($M$2:M76)+1,0)</f>
        <v>75</v>
      </c>
      <c r="V77" s="325" t="s">
        <v>1124</v>
      </c>
      <c r="W77" t="str">
        <f>IFERROR(VLOOKUP(ROWS($W$3:W77),$U$3:$V$992,2,0),"")</f>
        <v>Pojištění,zajištění a penzijní financování,kromě povinného soc.zabezpečení</v>
      </c>
      <c r="X77">
        <f>IF(ISNUMBER(SEARCH('1Př1'!$A$34,N77)),MAX($M$2:M76)+1,0)</f>
        <v>75</v>
      </c>
      <c r="Y77" s="325" t="s">
        <v>1124</v>
      </c>
      <c r="Z77" t="str">
        <f>IFERROR(VLOOKUP(ROWS($Z$3:Z77),$X$3:$Y$992,2,0),"")</f>
        <v>Pojištění,zajištění a penzijní financování,kromě povinného soc.zabezpečení</v>
      </c>
    </row>
    <row r="78" spans="1:26" ht="12.75" customHeight="1">
      <c r="A78" s="301"/>
      <c r="B78" s="301"/>
      <c r="C78" s="301"/>
      <c r="D78" s="317">
        <f>IF(ISNUMBER(SEARCH(ZAKL_DATA!$B$14,E78)),MAX($D$2:D77)+1,0)</f>
        <v>76</v>
      </c>
      <c r="E78" s="330" t="s">
        <v>1126</v>
      </c>
      <c r="F78" s="331">
        <v>2406</v>
      </c>
      <c r="G78" s="332"/>
      <c r="H78" s="333" t="str">
        <f>IFERROR(VLOOKUP(ROWS($H$3:H78),$D$3:$E$204,2,0),"")</f>
        <v>OSTROV NAD OHŘÍ</v>
      </c>
      <c r="I78" s="301"/>
      <c r="J78" s="335" t="s">
        <v>1127</v>
      </c>
      <c r="K78" s="323" t="s">
        <v>1128</v>
      </c>
      <c r="M78" s="324">
        <f>IF(ISNUMBER(SEARCH(ZAKL_DATA!$B$29,N78)),MAX($M$2:M77)+1,0)</f>
        <v>76</v>
      </c>
      <c r="N78" s="325" t="s">
        <v>1129</v>
      </c>
      <c r="O78" s="326" t="s">
        <v>1130</v>
      </c>
      <c r="Q78" s="327" t="str">
        <f>IFERROR(VLOOKUP(ROWS($Q$3:Q78),$M$3:$N$992,2,0),"")</f>
        <v>Ostatní finanční činnosti</v>
      </c>
      <c r="R78">
        <f>IF(ISNUMBER(SEARCH('1Př1'!$A$32,N78)),MAX($M$2:M77)+1,0)</f>
        <v>76</v>
      </c>
      <c r="S78" s="325" t="s">
        <v>1129</v>
      </c>
      <c r="T78" t="str">
        <f>IFERROR(VLOOKUP(ROWS($T$3:T78),$R$3:$S$992,2,0),"")</f>
        <v>Ostatní finanční činnosti</v>
      </c>
      <c r="U78">
        <f>IF(ISNUMBER(SEARCH('1Př1'!$A$33,N78)),MAX($M$2:M77)+1,0)</f>
        <v>76</v>
      </c>
      <c r="V78" s="325" t="s">
        <v>1129</v>
      </c>
      <c r="W78" t="str">
        <f>IFERROR(VLOOKUP(ROWS($W$3:W78),$U$3:$V$992,2,0),"")</f>
        <v>Ostatní finanční činnosti</v>
      </c>
      <c r="X78">
        <f>IF(ISNUMBER(SEARCH('1Př1'!$A$34,N78)),MAX($M$2:M77)+1,0)</f>
        <v>76</v>
      </c>
      <c r="Y78" s="325" t="s">
        <v>1129</v>
      </c>
      <c r="Z78" t="str">
        <f>IFERROR(VLOOKUP(ROWS($Z$3:Z78),$X$3:$Y$992,2,0),"")</f>
        <v>Ostatní finanční činnosti</v>
      </c>
    </row>
    <row r="79" spans="1:26" ht="12.75" customHeight="1">
      <c r="A79" s="301"/>
      <c r="B79" s="301"/>
      <c r="C79" s="301"/>
      <c r="D79" s="317">
        <f>IF(ISNUMBER(SEARCH(ZAKL_DATA!$B$14,E79)),MAX($D$2:D78)+1,0)</f>
        <v>77</v>
      </c>
      <c r="E79" s="330" t="s">
        <v>1131</v>
      </c>
      <c r="F79" s="331">
        <v>2407</v>
      </c>
      <c r="G79" s="332"/>
      <c r="H79" s="333" t="str">
        <f>IFERROR(VLOOKUP(ROWS($H$3:H79),$D$3:$E$204,2,0),"")</f>
        <v>SOKOLOV</v>
      </c>
      <c r="I79" s="301"/>
      <c r="J79" s="335" t="s">
        <v>1132</v>
      </c>
      <c r="K79" s="323" t="s">
        <v>1133</v>
      </c>
      <c r="M79" s="324">
        <f>IF(ISNUMBER(SEARCH(ZAKL_DATA!$B$29,N79)),MAX($M$2:M78)+1,0)</f>
        <v>77</v>
      </c>
      <c r="N79" s="325" t="s">
        <v>1134</v>
      </c>
      <c r="O79" s="326" t="s">
        <v>1135</v>
      </c>
      <c r="Q79" s="327" t="str">
        <f>IFERROR(VLOOKUP(ROWS($Q$3:Q79),$M$3:$N$992,2,0),"")</f>
        <v>Činnosti v oblasti nemovitostí</v>
      </c>
      <c r="R79">
        <f>IF(ISNUMBER(SEARCH('1Př1'!$A$32,N79)),MAX($M$2:M78)+1,0)</f>
        <v>77</v>
      </c>
      <c r="S79" s="325" t="s">
        <v>1134</v>
      </c>
      <c r="T79" t="str">
        <f>IFERROR(VLOOKUP(ROWS($T$3:T79),$R$3:$S$992,2,0),"")</f>
        <v>Činnosti v oblasti nemovitostí</v>
      </c>
      <c r="U79">
        <f>IF(ISNUMBER(SEARCH('1Př1'!$A$33,N79)),MAX($M$2:M78)+1,0)</f>
        <v>77</v>
      </c>
      <c r="V79" s="325" t="s">
        <v>1134</v>
      </c>
      <c r="W79" t="str">
        <f>IFERROR(VLOOKUP(ROWS($W$3:W79),$U$3:$V$992,2,0),"")</f>
        <v>Činnosti v oblasti nemovitostí</v>
      </c>
      <c r="X79">
        <f>IF(ISNUMBER(SEARCH('1Př1'!$A$34,N79)),MAX($M$2:M78)+1,0)</f>
        <v>77</v>
      </c>
      <c r="Y79" s="325" t="s">
        <v>1134</v>
      </c>
      <c r="Z79" t="str">
        <f>IFERROR(VLOOKUP(ROWS($Z$3:Z79),$X$3:$Y$992,2,0),"")</f>
        <v>Činnosti v oblasti nemovitostí</v>
      </c>
    </row>
    <row r="80" spans="1:26" ht="12.75" customHeight="1">
      <c r="A80" s="301"/>
      <c r="B80" s="301"/>
      <c r="C80" s="301"/>
      <c r="D80" s="317">
        <f>IF(ISNUMBER(SEARCH(ZAKL_DATA!$B$14,E80)),MAX($D$2:D79)+1,0)</f>
        <v>78</v>
      </c>
      <c r="E80" s="330" t="s">
        <v>1136</v>
      </c>
      <c r="F80" s="331">
        <v>2501</v>
      </c>
      <c r="G80" s="332"/>
      <c r="H80" s="333" t="str">
        <f>IFERROR(VLOOKUP(ROWS($H$3:H80),$D$3:$E$204,2,0),"")</f>
        <v>ÚSTÍ NAD LABEM</v>
      </c>
      <c r="I80" s="301"/>
      <c r="J80" s="335" t="s">
        <v>1137</v>
      </c>
      <c r="K80" s="323" t="s">
        <v>1138</v>
      </c>
      <c r="M80" s="324">
        <f>IF(ISNUMBER(SEARCH(ZAKL_DATA!$B$29,N80)),MAX($M$2:M79)+1,0)</f>
        <v>78</v>
      </c>
      <c r="N80" s="325" t="s">
        <v>1139</v>
      </c>
      <c r="O80" s="326" t="s">
        <v>1140</v>
      </c>
      <c r="Q80" s="327" t="str">
        <f>IFERROR(VLOOKUP(ROWS($Q$3:Q80),$M$3:$N$992,2,0),"")</f>
        <v>Právní a účetnické činnosti</v>
      </c>
      <c r="R80">
        <f>IF(ISNUMBER(SEARCH('1Př1'!$A$32,N80)),MAX($M$2:M79)+1,0)</f>
        <v>78</v>
      </c>
      <c r="S80" s="325" t="s">
        <v>1139</v>
      </c>
      <c r="T80" t="str">
        <f>IFERROR(VLOOKUP(ROWS($T$3:T80),$R$3:$S$992,2,0),"")</f>
        <v>Právní a účetnické činnosti</v>
      </c>
      <c r="U80">
        <f>IF(ISNUMBER(SEARCH('1Př1'!$A$33,N80)),MAX($M$2:M79)+1,0)</f>
        <v>78</v>
      </c>
      <c r="V80" s="325" t="s">
        <v>1139</v>
      </c>
      <c r="W80" t="str">
        <f>IFERROR(VLOOKUP(ROWS($W$3:W80),$U$3:$V$992,2,0),"")</f>
        <v>Právní a účetnické činnosti</v>
      </c>
      <c r="X80">
        <f>IF(ISNUMBER(SEARCH('1Př1'!$A$34,N80)),MAX($M$2:M79)+1,0)</f>
        <v>78</v>
      </c>
      <c r="Y80" s="325" t="s">
        <v>1139</v>
      </c>
      <c r="Z80" t="str">
        <f>IFERROR(VLOOKUP(ROWS($Z$3:Z80),$X$3:$Y$992,2,0),"")</f>
        <v>Právní a účetnické činnosti</v>
      </c>
    </row>
    <row r="81" spans="1:26" ht="12.75" customHeight="1">
      <c r="A81" s="301"/>
      <c r="B81" s="301"/>
      <c r="C81" s="301"/>
      <c r="D81" s="317">
        <f>IF(ISNUMBER(SEARCH(ZAKL_DATA!$B$14,E81)),MAX($D$2:D80)+1,0)</f>
        <v>79</v>
      </c>
      <c r="E81" s="330" t="s">
        <v>1141</v>
      </c>
      <c r="F81" s="331">
        <v>2502</v>
      </c>
      <c r="G81" s="332"/>
      <c r="H81" s="333" t="str">
        <f>IFERROR(VLOOKUP(ROWS($H$3:H81),$D$3:$E$204,2,0),"")</f>
        <v>BÍLINA</v>
      </c>
      <c r="I81" s="301"/>
      <c r="J81" s="335" t="s">
        <v>1142</v>
      </c>
      <c r="K81" s="323" t="s">
        <v>1143</v>
      </c>
      <c r="M81" s="324">
        <f>IF(ISNUMBER(SEARCH(ZAKL_DATA!$B$29,N81)),MAX($M$2:M80)+1,0)</f>
        <v>79</v>
      </c>
      <c r="N81" s="325" t="s">
        <v>1144</v>
      </c>
      <c r="O81" s="326" t="s">
        <v>1145</v>
      </c>
      <c r="Q81" s="327" t="str">
        <f>IFERROR(VLOOKUP(ROWS($Q$3:Q81),$M$3:$N$992,2,0),"")</f>
        <v>Činnosti vedení podniků; poradenství v oblasti řízení</v>
      </c>
      <c r="R81">
        <f>IF(ISNUMBER(SEARCH('1Př1'!$A$32,N81)),MAX($M$2:M80)+1,0)</f>
        <v>79</v>
      </c>
      <c r="S81" s="325" t="s">
        <v>1144</v>
      </c>
      <c r="T81" t="str">
        <f>IFERROR(VLOOKUP(ROWS($T$3:T81),$R$3:$S$992,2,0),"")</f>
        <v>Činnosti vedení podniků; poradenství v oblasti řízení</v>
      </c>
      <c r="U81">
        <f>IF(ISNUMBER(SEARCH('1Př1'!$A$33,N81)),MAX($M$2:M80)+1,0)</f>
        <v>79</v>
      </c>
      <c r="V81" s="325" t="s">
        <v>1144</v>
      </c>
      <c r="W81" t="str">
        <f>IFERROR(VLOOKUP(ROWS($W$3:W81),$U$3:$V$992,2,0),"")</f>
        <v>Činnosti vedení podniků; poradenství v oblasti řízení</v>
      </c>
      <c r="X81">
        <f>IF(ISNUMBER(SEARCH('1Př1'!$A$34,N81)),MAX($M$2:M80)+1,0)</f>
        <v>79</v>
      </c>
      <c r="Y81" s="325" t="s">
        <v>1144</v>
      </c>
      <c r="Z81" t="str">
        <f>IFERROR(VLOOKUP(ROWS($Z$3:Z81),$X$3:$Y$992,2,0),"")</f>
        <v>Činnosti vedení podniků; poradenství v oblasti řízení</v>
      </c>
    </row>
    <row r="82" spans="1:26" ht="12.75" customHeight="1">
      <c r="A82" s="301"/>
      <c r="B82" s="301"/>
      <c r="C82" s="301"/>
      <c r="D82" s="317">
        <f>IF(ISNUMBER(SEARCH(ZAKL_DATA!$B$14,E82)),MAX($D$2:D81)+1,0)</f>
        <v>80</v>
      </c>
      <c r="E82" s="330" t="s">
        <v>1146</v>
      </c>
      <c r="F82" s="331">
        <v>2503</v>
      </c>
      <c r="G82" s="332"/>
      <c r="H82" s="333" t="str">
        <f>IFERROR(VLOOKUP(ROWS($H$3:H82),$D$3:$E$204,2,0),"")</f>
        <v>DĚČÍN</v>
      </c>
      <c r="I82" s="301"/>
      <c r="J82" s="335" t="s">
        <v>1147</v>
      </c>
      <c r="K82" s="323" t="s">
        <v>1148</v>
      </c>
      <c r="M82" s="324">
        <f>IF(ISNUMBER(SEARCH(ZAKL_DATA!$B$29,N82)),MAX($M$2:M81)+1,0)</f>
        <v>80</v>
      </c>
      <c r="N82" s="325" t="s">
        <v>1149</v>
      </c>
      <c r="O82" s="326" t="s">
        <v>1150</v>
      </c>
      <c r="Q82" s="327" t="str">
        <f>IFERROR(VLOOKUP(ROWS($Q$3:Q82),$M$3:$N$992,2,0),"")</f>
        <v>Architektonické a inženýrské činnosti; technické zkoušky a analýzy</v>
      </c>
      <c r="R82">
        <f>IF(ISNUMBER(SEARCH('1Př1'!$A$32,N82)),MAX($M$2:M81)+1,0)</f>
        <v>80</v>
      </c>
      <c r="S82" s="325" t="s">
        <v>1149</v>
      </c>
      <c r="T82" t="str">
        <f>IFERROR(VLOOKUP(ROWS($T$3:T82),$R$3:$S$992,2,0),"")</f>
        <v>Architektonické a inženýrské činnosti; technické zkoušky a analýzy</v>
      </c>
      <c r="U82">
        <f>IF(ISNUMBER(SEARCH('1Př1'!$A$33,N82)),MAX($M$2:M81)+1,0)</f>
        <v>80</v>
      </c>
      <c r="V82" s="325" t="s">
        <v>1149</v>
      </c>
      <c r="W82" t="str">
        <f>IFERROR(VLOOKUP(ROWS($W$3:W82),$U$3:$V$992,2,0),"")</f>
        <v>Architektonické a inženýrské činnosti; technické zkoušky a analýzy</v>
      </c>
      <c r="X82">
        <f>IF(ISNUMBER(SEARCH('1Př1'!$A$34,N82)),MAX($M$2:M81)+1,0)</f>
        <v>80</v>
      </c>
      <c r="Y82" s="325" t="s">
        <v>1149</v>
      </c>
      <c r="Z82" t="str">
        <f>IFERROR(VLOOKUP(ROWS($Z$3:Z82),$X$3:$Y$992,2,0),"")</f>
        <v>Architektonické a inženýrské činnosti; technické zkoušky a analýzy</v>
      </c>
    </row>
    <row r="83" spans="1:26" ht="12.75" customHeight="1">
      <c r="A83" s="301"/>
      <c r="B83" s="301"/>
      <c r="C83" s="301"/>
      <c r="D83" s="317">
        <f>IF(ISNUMBER(SEARCH(ZAKL_DATA!$B$14,E83)),MAX($D$2:D82)+1,0)</f>
        <v>81</v>
      </c>
      <c r="E83" s="330" t="s">
        <v>1151</v>
      </c>
      <c r="F83" s="331">
        <v>2504</v>
      </c>
      <c r="G83" s="332"/>
      <c r="H83" s="333" t="str">
        <f>IFERROR(VLOOKUP(ROWS($H$3:H83),$D$3:$E$204,2,0),"")</f>
        <v>CHOMUTOV</v>
      </c>
      <c r="I83" s="301"/>
      <c r="J83" s="335" t="s">
        <v>1152</v>
      </c>
      <c r="K83" s="323" t="s">
        <v>1153</v>
      </c>
      <c r="M83" s="324">
        <f>IF(ISNUMBER(SEARCH(ZAKL_DATA!$B$29,N83)),MAX($M$2:M82)+1,0)</f>
        <v>81</v>
      </c>
      <c r="N83" s="325" t="s">
        <v>1154</v>
      </c>
      <c r="O83" s="326" t="s">
        <v>1155</v>
      </c>
      <c r="Q83" s="327" t="str">
        <f>IFERROR(VLOOKUP(ROWS($Q$3:Q83),$M$3:$N$992,2,0),"")</f>
        <v>Těžba a úprava železných rud</v>
      </c>
      <c r="R83">
        <f>IF(ISNUMBER(SEARCH('1Př1'!$A$32,N83)),MAX($M$2:M82)+1,0)</f>
        <v>81</v>
      </c>
      <c r="S83" s="325" t="s">
        <v>1154</v>
      </c>
      <c r="T83" t="str">
        <f>IFERROR(VLOOKUP(ROWS($T$3:T83),$R$3:$S$992,2,0),"")</f>
        <v>Těžba a úprava železných rud</v>
      </c>
      <c r="U83">
        <f>IF(ISNUMBER(SEARCH('1Př1'!$A$33,N83)),MAX($M$2:M82)+1,0)</f>
        <v>81</v>
      </c>
      <c r="V83" s="325" t="s">
        <v>1154</v>
      </c>
      <c r="W83" t="str">
        <f>IFERROR(VLOOKUP(ROWS($W$3:W83),$U$3:$V$992,2,0),"")</f>
        <v>Těžba a úprava železných rud</v>
      </c>
      <c r="X83">
        <f>IF(ISNUMBER(SEARCH('1Př1'!$A$34,N83)),MAX($M$2:M82)+1,0)</f>
        <v>81</v>
      </c>
      <c r="Y83" s="325" t="s">
        <v>1154</v>
      </c>
      <c r="Z83" t="str">
        <f>IFERROR(VLOOKUP(ROWS($Z$3:Z83),$X$3:$Y$992,2,0),"")</f>
        <v>Těžba a úprava železných rud</v>
      </c>
    </row>
    <row r="84" spans="1:26" ht="12.75" customHeight="1">
      <c r="A84" s="301"/>
      <c r="B84" s="301"/>
      <c r="C84" s="301"/>
      <c r="D84" s="317">
        <f>IF(ISNUMBER(SEARCH(ZAKL_DATA!$B$14,E84)),MAX($D$2:D83)+1,0)</f>
        <v>82</v>
      </c>
      <c r="E84" s="330" t="s">
        <v>1156</v>
      </c>
      <c r="F84" s="331">
        <v>2505</v>
      </c>
      <c r="G84" s="332"/>
      <c r="H84" s="333" t="str">
        <f>IFERROR(VLOOKUP(ROWS($H$3:H84),$D$3:$E$204,2,0),"")</f>
        <v>KADAŇ</v>
      </c>
      <c r="I84" s="301"/>
      <c r="J84" s="338" t="s">
        <v>1157</v>
      </c>
      <c r="K84" s="339" t="s">
        <v>1158</v>
      </c>
      <c r="M84" s="324">
        <f>IF(ISNUMBER(SEARCH(ZAKL_DATA!$B$29,N84)),MAX($M$2:M83)+1,0)</f>
        <v>82</v>
      </c>
      <c r="N84" s="325" t="s">
        <v>1159</v>
      </c>
      <c r="O84" s="326" t="s">
        <v>1160</v>
      </c>
      <c r="Q84" s="327" t="str">
        <f>IFERROR(VLOOKUP(ROWS($Q$3:Q84),$M$3:$N$992,2,0),"")</f>
        <v>Výzkum a vývoj</v>
      </c>
      <c r="R84">
        <f>IF(ISNUMBER(SEARCH('1Př1'!$A$32,N84)),MAX($M$2:M83)+1,0)</f>
        <v>82</v>
      </c>
      <c r="S84" s="325" t="s">
        <v>1159</v>
      </c>
      <c r="T84" t="str">
        <f>IFERROR(VLOOKUP(ROWS($T$3:T84),$R$3:$S$992,2,0),"")</f>
        <v>Výzkum a vývoj</v>
      </c>
      <c r="U84">
        <f>IF(ISNUMBER(SEARCH('1Př1'!$A$33,N84)),MAX($M$2:M83)+1,0)</f>
        <v>82</v>
      </c>
      <c r="V84" s="325" t="s">
        <v>1159</v>
      </c>
      <c r="W84" t="str">
        <f>IFERROR(VLOOKUP(ROWS($W$3:W84),$U$3:$V$992,2,0),"")</f>
        <v>Výzkum a vývoj</v>
      </c>
      <c r="X84">
        <f>IF(ISNUMBER(SEARCH('1Př1'!$A$34,N84)),MAX($M$2:M83)+1,0)</f>
        <v>82</v>
      </c>
      <c r="Y84" s="325" t="s">
        <v>1159</v>
      </c>
      <c r="Z84" t="str">
        <f>IFERROR(VLOOKUP(ROWS($Z$3:Z84),$X$3:$Y$992,2,0),"")</f>
        <v>Výzkum a vývoj</v>
      </c>
    </row>
    <row r="85" spans="1:26" ht="12.75" customHeight="1">
      <c r="A85" s="301"/>
      <c r="B85" s="301"/>
      <c r="C85" s="301"/>
      <c r="D85" s="317">
        <f>IF(ISNUMBER(SEARCH(ZAKL_DATA!$B$14,E85)),MAX($D$2:D84)+1,0)</f>
        <v>83</v>
      </c>
      <c r="E85" s="330" t="s">
        <v>1161</v>
      </c>
      <c r="F85" s="331">
        <v>2506</v>
      </c>
      <c r="G85" s="332"/>
      <c r="H85" s="333" t="str">
        <f>IFERROR(VLOOKUP(ROWS($H$3:H85),$D$3:$E$204,2,0),"")</f>
        <v>LIBOCHOVICE</v>
      </c>
      <c r="I85" s="301"/>
      <c r="J85" s="335" t="s">
        <v>1162</v>
      </c>
      <c r="K85" s="323" t="s">
        <v>1163</v>
      </c>
      <c r="M85" s="324">
        <f>IF(ISNUMBER(SEARCH(ZAKL_DATA!$B$29,N85)),MAX($M$2:M84)+1,0)</f>
        <v>83</v>
      </c>
      <c r="N85" s="325" t="s">
        <v>1164</v>
      </c>
      <c r="O85" s="326" t="s">
        <v>1165</v>
      </c>
      <c r="Q85" s="327" t="str">
        <f>IFERROR(VLOOKUP(ROWS($Q$3:Q85),$M$3:$N$992,2,0),"")</f>
        <v>Těžba a úprava neželezných rud</v>
      </c>
      <c r="R85">
        <f>IF(ISNUMBER(SEARCH('1Př1'!$A$32,N85)),MAX($M$2:M84)+1,0)</f>
        <v>83</v>
      </c>
      <c r="S85" s="325" t="s">
        <v>1164</v>
      </c>
      <c r="T85" t="str">
        <f>IFERROR(VLOOKUP(ROWS($T$3:T85),$R$3:$S$992,2,0),"")</f>
        <v>Těžba a úprava neželezných rud</v>
      </c>
      <c r="U85">
        <f>IF(ISNUMBER(SEARCH('1Př1'!$A$33,N85)),MAX($M$2:M84)+1,0)</f>
        <v>83</v>
      </c>
      <c r="V85" s="325" t="s">
        <v>1164</v>
      </c>
      <c r="W85" t="str">
        <f>IFERROR(VLOOKUP(ROWS($W$3:W85),$U$3:$V$992,2,0),"")</f>
        <v>Těžba a úprava neželezných rud</v>
      </c>
      <c r="X85">
        <f>IF(ISNUMBER(SEARCH('1Př1'!$A$34,N85)),MAX($M$2:M84)+1,0)</f>
        <v>83</v>
      </c>
      <c r="Y85" s="325" t="s">
        <v>1164</v>
      </c>
      <c r="Z85" t="str">
        <f>IFERROR(VLOOKUP(ROWS($Z$3:Z85),$X$3:$Y$992,2,0),"")</f>
        <v>Těžba a úprava neželezných rud</v>
      </c>
    </row>
    <row r="86" spans="1:26" ht="12.75" customHeight="1">
      <c r="A86" s="301"/>
      <c r="B86" s="301"/>
      <c r="C86" s="301"/>
      <c r="D86" s="317">
        <f>IF(ISNUMBER(SEARCH(ZAKL_DATA!$B$14,E86)),MAX($D$2:D85)+1,0)</f>
        <v>84</v>
      </c>
      <c r="E86" s="330" t="s">
        <v>1166</v>
      </c>
      <c r="F86" s="331">
        <v>2507</v>
      </c>
      <c r="G86" s="332"/>
      <c r="H86" s="333" t="str">
        <f>IFERROR(VLOOKUP(ROWS($H$3:H86),$D$3:$E$204,2,0),"")</f>
        <v>LITOMĚŘICE</v>
      </c>
      <c r="I86" s="301"/>
      <c r="J86" s="335" t="s">
        <v>1167</v>
      </c>
      <c r="K86" s="323" t="s">
        <v>1168</v>
      </c>
      <c r="M86" s="324">
        <f>IF(ISNUMBER(SEARCH(ZAKL_DATA!$B$29,N86)),MAX($M$2:M85)+1,0)</f>
        <v>84</v>
      </c>
      <c r="N86" s="325" t="s">
        <v>1169</v>
      </c>
      <c r="O86" s="326" t="s">
        <v>1170</v>
      </c>
      <c r="Q86" s="327" t="str">
        <f>IFERROR(VLOOKUP(ROWS($Q$3:Q86),$M$3:$N$992,2,0),"")</f>
        <v>Reklama a průzkum trhu</v>
      </c>
      <c r="R86">
        <f>IF(ISNUMBER(SEARCH('1Př1'!$A$32,N86)),MAX($M$2:M85)+1,0)</f>
        <v>84</v>
      </c>
      <c r="S86" s="325" t="s">
        <v>1169</v>
      </c>
      <c r="T86" t="str">
        <f>IFERROR(VLOOKUP(ROWS($T$3:T86),$R$3:$S$992,2,0),"")</f>
        <v>Reklama a průzkum trhu</v>
      </c>
      <c r="U86">
        <f>IF(ISNUMBER(SEARCH('1Př1'!$A$33,N86)),MAX($M$2:M85)+1,0)</f>
        <v>84</v>
      </c>
      <c r="V86" s="325" t="s">
        <v>1169</v>
      </c>
      <c r="W86" t="str">
        <f>IFERROR(VLOOKUP(ROWS($W$3:W86),$U$3:$V$992,2,0),"")</f>
        <v>Reklama a průzkum trhu</v>
      </c>
      <c r="X86">
        <f>IF(ISNUMBER(SEARCH('1Př1'!$A$34,N86)),MAX($M$2:M85)+1,0)</f>
        <v>84</v>
      </c>
      <c r="Y86" s="325" t="s">
        <v>1169</v>
      </c>
      <c r="Z86" t="str">
        <f>IFERROR(VLOOKUP(ROWS($Z$3:Z86),$X$3:$Y$992,2,0),"")</f>
        <v>Reklama a průzkum trhu</v>
      </c>
    </row>
    <row r="87" spans="1:26" ht="12.75" customHeight="1">
      <c r="A87" s="301"/>
      <c r="B87" s="301"/>
      <c r="C87" s="301"/>
      <c r="D87" s="317">
        <f>IF(ISNUMBER(SEARCH(ZAKL_DATA!$B$14,E87)),MAX($D$2:D86)+1,0)</f>
        <v>85</v>
      </c>
      <c r="E87" s="330" t="s">
        <v>1171</v>
      </c>
      <c r="F87" s="331">
        <v>2508</v>
      </c>
      <c r="G87" s="332"/>
      <c r="H87" s="333" t="str">
        <f>IFERROR(VLOOKUP(ROWS($H$3:H87),$D$3:$E$204,2,0),"")</f>
        <v>LITVÍNOV</v>
      </c>
      <c r="I87" s="301"/>
      <c r="J87" s="335" t="s">
        <v>1172</v>
      </c>
      <c r="K87" s="323" t="s">
        <v>1173</v>
      </c>
      <c r="M87" s="324">
        <f>IF(ISNUMBER(SEARCH(ZAKL_DATA!$B$29,N87)),MAX($M$2:M86)+1,0)</f>
        <v>85</v>
      </c>
      <c r="N87" s="325" t="s">
        <v>1174</v>
      </c>
      <c r="O87" s="326" t="s">
        <v>1175</v>
      </c>
      <c r="Q87" s="327" t="str">
        <f>IFERROR(VLOOKUP(ROWS($Q$3:Q87),$M$3:$N$992,2,0),"")</f>
        <v>Ostatní profesní, vědecké a technické činnosti</v>
      </c>
      <c r="R87">
        <f>IF(ISNUMBER(SEARCH('1Př1'!$A$32,N87)),MAX($M$2:M86)+1,0)</f>
        <v>85</v>
      </c>
      <c r="S87" s="325" t="s">
        <v>1174</v>
      </c>
      <c r="T87" t="str">
        <f>IFERROR(VLOOKUP(ROWS($T$3:T87),$R$3:$S$992,2,0),"")</f>
        <v>Ostatní profesní, vědecké a technické činnosti</v>
      </c>
      <c r="U87">
        <f>IF(ISNUMBER(SEARCH('1Př1'!$A$33,N87)),MAX($M$2:M86)+1,0)</f>
        <v>85</v>
      </c>
      <c r="V87" s="325" t="s">
        <v>1174</v>
      </c>
      <c r="W87" t="str">
        <f>IFERROR(VLOOKUP(ROWS($W$3:W87),$U$3:$V$992,2,0),"")</f>
        <v>Ostatní profesní, vědecké a technické činnosti</v>
      </c>
      <c r="X87">
        <f>IF(ISNUMBER(SEARCH('1Př1'!$A$34,N87)),MAX($M$2:M86)+1,0)</f>
        <v>85</v>
      </c>
      <c r="Y87" s="325" t="s">
        <v>1174</v>
      </c>
      <c r="Z87" t="str">
        <f>IFERROR(VLOOKUP(ROWS($Z$3:Z87),$X$3:$Y$992,2,0),"")</f>
        <v>Ostatní profesní, vědecké a technické činnosti</v>
      </c>
    </row>
    <row r="88" spans="1:26" ht="12.75" customHeight="1">
      <c r="A88" s="301"/>
      <c r="B88" s="301"/>
      <c r="C88" s="301"/>
      <c r="D88" s="317">
        <f>IF(ISNUMBER(SEARCH(ZAKL_DATA!$B$14,E88)),MAX($D$2:D87)+1,0)</f>
        <v>86</v>
      </c>
      <c r="E88" s="330" t="s">
        <v>1176</v>
      </c>
      <c r="F88" s="331">
        <v>2509</v>
      </c>
      <c r="G88" s="332"/>
      <c r="H88" s="333" t="str">
        <f>IFERROR(VLOOKUP(ROWS($H$3:H88),$D$3:$E$204,2,0),"")</f>
        <v>LOUNY</v>
      </c>
      <c r="I88" s="301"/>
      <c r="J88" s="335" t="s">
        <v>1177</v>
      </c>
      <c r="K88" s="323" t="s">
        <v>1178</v>
      </c>
      <c r="M88" s="324">
        <f>IF(ISNUMBER(SEARCH(ZAKL_DATA!$B$29,N88)),MAX($M$2:M87)+1,0)</f>
        <v>86</v>
      </c>
      <c r="N88" s="325" t="s">
        <v>1179</v>
      </c>
      <c r="O88" s="326" t="s">
        <v>1180</v>
      </c>
      <c r="Q88" s="327" t="str">
        <f>IFERROR(VLOOKUP(ROWS($Q$3:Q88),$M$3:$N$992,2,0),"")</f>
        <v>Veterinární činnosti</v>
      </c>
      <c r="R88">
        <f>IF(ISNUMBER(SEARCH('1Př1'!$A$32,N88)),MAX($M$2:M87)+1,0)</f>
        <v>86</v>
      </c>
      <c r="S88" s="325" t="s">
        <v>1179</v>
      </c>
      <c r="T88" t="str">
        <f>IFERROR(VLOOKUP(ROWS($T$3:T88),$R$3:$S$992,2,0),"")</f>
        <v>Veterinární činnosti</v>
      </c>
      <c r="U88">
        <f>IF(ISNUMBER(SEARCH('1Př1'!$A$33,N88)),MAX($M$2:M87)+1,0)</f>
        <v>86</v>
      </c>
      <c r="V88" s="325" t="s">
        <v>1179</v>
      </c>
      <c r="W88" t="str">
        <f>IFERROR(VLOOKUP(ROWS($W$3:W88),$U$3:$V$992,2,0),"")</f>
        <v>Veterinární činnosti</v>
      </c>
      <c r="X88">
        <f>IF(ISNUMBER(SEARCH('1Př1'!$A$34,N88)),MAX($M$2:M87)+1,0)</f>
        <v>86</v>
      </c>
      <c r="Y88" s="325" t="s">
        <v>1179</v>
      </c>
      <c r="Z88" t="str">
        <f>IFERROR(VLOOKUP(ROWS($Z$3:Z88),$X$3:$Y$992,2,0),"")</f>
        <v>Veterinární činnosti</v>
      </c>
    </row>
    <row r="89" spans="1:26" ht="12.75" customHeight="1">
      <c r="A89" s="301"/>
      <c r="B89" s="301"/>
      <c r="C89" s="301"/>
      <c r="D89" s="317">
        <f>IF(ISNUMBER(SEARCH(ZAKL_DATA!$B$14,E89)),MAX($D$2:D88)+1,0)</f>
        <v>87</v>
      </c>
      <c r="E89" s="330" t="s">
        <v>1181</v>
      </c>
      <c r="F89" s="331">
        <v>2510</v>
      </c>
      <c r="G89" s="332"/>
      <c r="H89" s="333" t="str">
        <f>IFERROR(VLOOKUP(ROWS($H$3:H89),$D$3:$E$204,2,0),"")</f>
        <v>MOST</v>
      </c>
      <c r="I89" s="301"/>
      <c r="J89" s="335" t="s">
        <v>1182</v>
      </c>
      <c r="K89" s="323" t="s">
        <v>1183</v>
      </c>
      <c r="M89" s="324">
        <f>IF(ISNUMBER(SEARCH(ZAKL_DATA!$B$29,N89)),MAX($M$2:M88)+1,0)</f>
        <v>87</v>
      </c>
      <c r="N89" s="325" t="s">
        <v>1184</v>
      </c>
      <c r="O89" s="326" t="s">
        <v>1185</v>
      </c>
      <c r="Q89" s="327" t="str">
        <f>IFERROR(VLOOKUP(ROWS($Q$3:Q89),$M$3:$N$992,2,0),"")</f>
        <v>Činnosti v oblasti pronájmu a operativního leasingu</v>
      </c>
      <c r="R89">
        <f>IF(ISNUMBER(SEARCH('1Př1'!$A$32,N89)),MAX($M$2:M88)+1,0)</f>
        <v>87</v>
      </c>
      <c r="S89" s="325" t="s">
        <v>1184</v>
      </c>
      <c r="T89" t="str">
        <f>IFERROR(VLOOKUP(ROWS($T$3:T89),$R$3:$S$992,2,0),"")</f>
        <v>Činnosti v oblasti pronájmu a operativního leasingu</v>
      </c>
      <c r="U89">
        <f>IF(ISNUMBER(SEARCH('1Př1'!$A$33,N89)),MAX($M$2:M88)+1,0)</f>
        <v>87</v>
      </c>
      <c r="V89" s="325" t="s">
        <v>1184</v>
      </c>
      <c r="W89" t="str">
        <f>IFERROR(VLOOKUP(ROWS($W$3:W89),$U$3:$V$992,2,0),"")</f>
        <v>Činnosti v oblasti pronájmu a operativního leasingu</v>
      </c>
      <c r="X89">
        <f>IF(ISNUMBER(SEARCH('1Př1'!$A$34,N89)),MAX($M$2:M88)+1,0)</f>
        <v>87</v>
      </c>
      <c r="Y89" s="325" t="s">
        <v>1184</v>
      </c>
      <c r="Z89" t="str">
        <f>IFERROR(VLOOKUP(ROWS($Z$3:Z89),$X$3:$Y$992,2,0),"")</f>
        <v>Činnosti v oblasti pronájmu a operativního leasingu</v>
      </c>
    </row>
    <row r="90" spans="1:26" ht="12.75" customHeight="1">
      <c r="A90" s="301"/>
      <c r="B90" s="301"/>
      <c r="C90" s="301"/>
      <c r="D90" s="317">
        <f>IF(ISNUMBER(SEARCH(ZAKL_DATA!$B$14,E90)),MAX($D$2:D89)+1,0)</f>
        <v>88</v>
      </c>
      <c r="E90" s="330" t="s">
        <v>1186</v>
      </c>
      <c r="F90" s="331">
        <v>2511</v>
      </c>
      <c r="G90" s="332"/>
      <c r="H90" s="333" t="str">
        <f>IFERROR(VLOOKUP(ROWS($H$3:H90),$D$3:$E$204,2,0),"")</f>
        <v>PODBOŘANY</v>
      </c>
      <c r="I90" s="301"/>
      <c r="J90" s="335" t="s">
        <v>1187</v>
      </c>
      <c r="K90" s="323" t="s">
        <v>1188</v>
      </c>
      <c r="M90" s="324">
        <f>IF(ISNUMBER(SEARCH(ZAKL_DATA!$B$29,N90)),MAX($M$2:M89)+1,0)</f>
        <v>88</v>
      </c>
      <c r="N90" s="325" t="s">
        <v>1189</v>
      </c>
      <c r="O90" s="326" t="s">
        <v>1190</v>
      </c>
      <c r="Q90" s="327" t="str">
        <f>IFERROR(VLOOKUP(ROWS($Q$3:Q90),$M$3:$N$992,2,0),"")</f>
        <v>Činnosti související se zaměstnáním</v>
      </c>
      <c r="R90">
        <f>IF(ISNUMBER(SEARCH('1Př1'!$A$32,N90)),MAX($M$2:M89)+1,0)</f>
        <v>88</v>
      </c>
      <c r="S90" s="325" t="s">
        <v>1189</v>
      </c>
      <c r="T90" t="str">
        <f>IFERROR(VLOOKUP(ROWS($T$3:T90),$R$3:$S$992,2,0),"")</f>
        <v>Činnosti související se zaměstnáním</v>
      </c>
      <c r="U90">
        <f>IF(ISNUMBER(SEARCH('1Př1'!$A$33,N90)),MAX($M$2:M89)+1,0)</f>
        <v>88</v>
      </c>
      <c r="V90" s="325" t="s">
        <v>1189</v>
      </c>
      <c r="W90" t="str">
        <f>IFERROR(VLOOKUP(ROWS($W$3:W90),$U$3:$V$992,2,0),"")</f>
        <v>Činnosti související se zaměstnáním</v>
      </c>
      <c r="X90">
        <f>IF(ISNUMBER(SEARCH('1Př1'!$A$34,N90)),MAX($M$2:M89)+1,0)</f>
        <v>88</v>
      </c>
      <c r="Y90" s="325" t="s">
        <v>1189</v>
      </c>
      <c r="Z90" t="str">
        <f>IFERROR(VLOOKUP(ROWS($Z$3:Z90),$X$3:$Y$992,2,0),"")</f>
        <v>Činnosti související se zaměstnáním</v>
      </c>
    </row>
    <row r="91" spans="1:26" ht="12.75" customHeight="1">
      <c r="A91" s="301"/>
      <c r="B91" s="301"/>
      <c r="C91" s="301"/>
      <c r="D91" s="317">
        <f>IF(ISNUMBER(SEARCH(ZAKL_DATA!$B$14,E91)),MAX($D$2:D90)+1,0)</f>
        <v>89</v>
      </c>
      <c r="E91" s="330" t="s">
        <v>1191</v>
      </c>
      <c r="F91" s="331">
        <v>2512</v>
      </c>
      <c r="G91" s="332"/>
      <c r="H91" s="333" t="str">
        <f>IFERROR(VLOOKUP(ROWS($H$3:H91),$D$3:$E$204,2,0),"")</f>
        <v>ROUDNICE NAD LABEM</v>
      </c>
      <c r="I91" s="301"/>
      <c r="J91" s="335" t="s">
        <v>1192</v>
      </c>
      <c r="K91" s="323" t="s">
        <v>1193</v>
      </c>
      <c r="M91" s="324">
        <f>IF(ISNUMBER(SEARCH(ZAKL_DATA!$B$29,N91)),MAX($M$2:M90)+1,0)</f>
        <v>89</v>
      </c>
      <c r="N91" s="325" t="s">
        <v>1194</v>
      </c>
      <c r="O91" s="326" t="s">
        <v>1195</v>
      </c>
      <c r="Q91" s="327" t="str">
        <f>IFERROR(VLOOKUP(ROWS($Q$3:Q91),$M$3:$N$992,2,0),"")</f>
        <v>Činnosti cest.agentur,kanceláří a jiné rezervační a související činnosti</v>
      </c>
      <c r="R91">
        <f>IF(ISNUMBER(SEARCH('1Př1'!$A$32,N91)),MAX($M$2:M90)+1,0)</f>
        <v>89</v>
      </c>
      <c r="S91" s="325" t="s">
        <v>1194</v>
      </c>
      <c r="T91" t="str">
        <f>IFERROR(VLOOKUP(ROWS($T$3:T91),$R$3:$S$992,2,0),"")</f>
        <v>Činnosti cest.agentur,kanceláří a jiné rezervační a související činnosti</v>
      </c>
      <c r="U91">
        <f>IF(ISNUMBER(SEARCH('1Př1'!$A$33,N91)),MAX($M$2:M90)+1,0)</f>
        <v>89</v>
      </c>
      <c r="V91" s="325" t="s">
        <v>1194</v>
      </c>
      <c r="W91" t="str">
        <f>IFERROR(VLOOKUP(ROWS($W$3:W91),$U$3:$V$992,2,0),"")</f>
        <v>Činnosti cest.agentur,kanceláří a jiné rezervační a související činnosti</v>
      </c>
      <c r="X91">
        <f>IF(ISNUMBER(SEARCH('1Př1'!$A$34,N91)),MAX($M$2:M90)+1,0)</f>
        <v>89</v>
      </c>
      <c r="Y91" s="325" t="s">
        <v>1194</v>
      </c>
      <c r="Z91" t="str">
        <f>IFERROR(VLOOKUP(ROWS($Z$3:Z91),$X$3:$Y$992,2,0),"")</f>
        <v>Činnosti cest.agentur,kanceláří a jiné rezervační a související činnosti</v>
      </c>
    </row>
    <row r="92" spans="1:26" ht="12.75" customHeight="1">
      <c r="A92" s="301"/>
      <c r="B92" s="301"/>
      <c r="C92" s="301"/>
      <c r="D92" s="317">
        <f>IF(ISNUMBER(SEARCH(ZAKL_DATA!$B$14,E92)),MAX($D$2:D91)+1,0)</f>
        <v>90</v>
      </c>
      <c r="E92" s="330" t="s">
        <v>1196</v>
      </c>
      <c r="F92" s="331">
        <v>2513</v>
      </c>
      <c r="G92" s="332"/>
      <c r="H92" s="333" t="str">
        <f>IFERROR(VLOOKUP(ROWS($H$3:H92),$D$3:$E$204,2,0),"")</f>
        <v>RUMBURK</v>
      </c>
      <c r="I92" s="301"/>
      <c r="J92" s="335" t="s">
        <v>1197</v>
      </c>
      <c r="K92" s="323" t="s">
        <v>1198</v>
      </c>
      <c r="M92" s="324">
        <f>IF(ISNUMBER(SEARCH(ZAKL_DATA!$B$29,N92)),MAX($M$2:M91)+1,0)</f>
        <v>90</v>
      </c>
      <c r="N92" s="325" t="s">
        <v>1199</v>
      </c>
      <c r="O92" s="326" t="s">
        <v>1200</v>
      </c>
      <c r="Q92" s="327" t="str">
        <f>IFERROR(VLOOKUP(ROWS($Q$3:Q92),$M$3:$N$992,2,0),"")</f>
        <v>Bezpečnostní a pátrací činnosti</v>
      </c>
      <c r="R92">
        <f>IF(ISNUMBER(SEARCH('1Př1'!$A$32,N92)),MAX($M$2:M91)+1,0)</f>
        <v>90</v>
      </c>
      <c r="S92" s="325" t="s">
        <v>1199</v>
      </c>
      <c r="T92" t="str">
        <f>IFERROR(VLOOKUP(ROWS($T$3:T92),$R$3:$S$992,2,0),"")</f>
        <v>Bezpečnostní a pátrací činnosti</v>
      </c>
      <c r="U92">
        <f>IF(ISNUMBER(SEARCH('1Př1'!$A$33,N92)),MAX($M$2:M91)+1,0)</f>
        <v>90</v>
      </c>
      <c r="V92" s="325" t="s">
        <v>1199</v>
      </c>
      <c r="W92" t="str">
        <f>IFERROR(VLOOKUP(ROWS($W$3:W92),$U$3:$V$992,2,0),"")</f>
        <v>Bezpečnostní a pátrací činnosti</v>
      </c>
      <c r="X92">
        <f>IF(ISNUMBER(SEARCH('1Př1'!$A$34,N92)),MAX($M$2:M91)+1,0)</f>
        <v>90</v>
      </c>
      <c r="Y92" s="325" t="s">
        <v>1199</v>
      </c>
      <c r="Z92" t="str">
        <f>IFERROR(VLOOKUP(ROWS($Z$3:Z92),$X$3:$Y$992,2,0),"")</f>
        <v>Bezpečnostní a pátrací činnosti</v>
      </c>
    </row>
    <row r="93" spans="1:26" ht="12.75" customHeight="1">
      <c r="A93" s="301"/>
      <c r="B93" s="301"/>
      <c r="C93" s="301"/>
      <c r="D93" s="317">
        <f>IF(ISNUMBER(SEARCH(ZAKL_DATA!$B$14,E93)),MAX($D$2:D92)+1,0)</f>
        <v>91</v>
      </c>
      <c r="E93" s="330" t="s">
        <v>1201</v>
      </c>
      <c r="F93" s="331">
        <v>2514</v>
      </c>
      <c r="G93" s="332"/>
      <c r="H93" s="333" t="str">
        <f>IFERROR(VLOOKUP(ROWS($H$3:H93),$D$3:$E$204,2,0),"")</f>
        <v>TEPLICE</v>
      </c>
      <c r="I93" s="301"/>
      <c r="J93" s="335" t="s">
        <v>1202</v>
      </c>
      <c r="K93" s="323" t="s">
        <v>1203</v>
      </c>
      <c r="M93" s="324">
        <f>IF(ISNUMBER(SEARCH(ZAKL_DATA!$B$29,N93)),MAX($M$2:M92)+1,0)</f>
        <v>91</v>
      </c>
      <c r="N93" s="325" t="s">
        <v>1204</v>
      </c>
      <c r="O93" s="326" t="s">
        <v>1205</v>
      </c>
      <c r="Q93" s="327" t="str">
        <f>IFERROR(VLOOKUP(ROWS($Q$3:Q93),$M$3:$N$992,2,0),"")</f>
        <v>Činnosti související se stavbami a úpravou krajiny</v>
      </c>
      <c r="R93">
        <f>IF(ISNUMBER(SEARCH('1Př1'!$A$32,N93)),MAX($M$2:M92)+1,0)</f>
        <v>91</v>
      </c>
      <c r="S93" s="325" t="s">
        <v>1204</v>
      </c>
      <c r="T93" t="str">
        <f>IFERROR(VLOOKUP(ROWS($T$3:T93),$R$3:$S$992,2,0),"")</f>
        <v>Činnosti související se stavbami a úpravou krajiny</v>
      </c>
      <c r="U93">
        <f>IF(ISNUMBER(SEARCH('1Př1'!$A$33,N93)),MAX($M$2:M92)+1,0)</f>
        <v>91</v>
      </c>
      <c r="V93" s="325" t="s">
        <v>1204</v>
      </c>
      <c r="W93" t="str">
        <f>IFERROR(VLOOKUP(ROWS($W$3:W93),$U$3:$V$992,2,0),"")</f>
        <v>Činnosti související se stavbami a úpravou krajiny</v>
      </c>
      <c r="X93">
        <f>IF(ISNUMBER(SEARCH('1Př1'!$A$34,N93)),MAX($M$2:M92)+1,0)</f>
        <v>91</v>
      </c>
      <c r="Y93" s="325" t="s">
        <v>1204</v>
      </c>
      <c r="Z93" t="str">
        <f>IFERROR(VLOOKUP(ROWS($Z$3:Z93),$X$3:$Y$992,2,0),"")</f>
        <v>Činnosti související se stavbami a úpravou krajiny</v>
      </c>
    </row>
    <row r="94" spans="1:26" ht="12.75" customHeight="1">
      <c r="A94" s="301"/>
      <c r="B94" s="301"/>
      <c r="C94" s="301"/>
      <c r="D94" s="317">
        <f>IF(ISNUMBER(SEARCH(ZAKL_DATA!$B$14,E94)),MAX($D$2:D93)+1,0)</f>
        <v>92</v>
      </c>
      <c r="E94" s="330" t="s">
        <v>1206</v>
      </c>
      <c r="F94" s="331">
        <v>2515</v>
      </c>
      <c r="G94" s="332"/>
      <c r="H94" s="333" t="str">
        <f>IFERROR(VLOOKUP(ROWS($H$3:H94),$D$3:$E$204,2,0),"")</f>
        <v>ŽATEC</v>
      </c>
      <c r="I94" s="301"/>
      <c r="J94" s="335" t="s">
        <v>1207</v>
      </c>
      <c r="K94" s="323" t="s">
        <v>1208</v>
      </c>
      <c r="M94" s="324">
        <f>IF(ISNUMBER(SEARCH(ZAKL_DATA!$B$29,N94)),MAX($M$2:M93)+1,0)</f>
        <v>92</v>
      </c>
      <c r="N94" s="325" t="s">
        <v>1209</v>
      </c>
      <c r="O94" s="326" t="s">
        <v>1210</v>
      </c>
      <c r="Q94" s="327" t="str">
        <f>IFERROR(VLOOKUP(ROWS($Q$3:Q94),$M$3:$N$992,2,0),"")</f>
        <v>Dobývání kamene, písků a jílů</v>
      </c>
      <c r="R94">
        <f>IF(ISNUMBER(SEARCH('1Př1'!$A$32,N94)),MAX($M$2:M93)+1,0)</f>
        <v>92</v>
      </c>
      <c r="S94" s="325" t="s">
        <v>1209</v>
      </c>
      <c r="T94" t="str">
        <f>IFERROR(VLOOKUP(ROWS($T$3:T94),$R$3:$S$992,2,0),"")</f>
        <v>Dobývání kamene, písků a jílů</v>
      </c>
      <c r="U94">
        <f>IF(ISNUMBER(SEARCH('1Př1'!$A$33,N94)),MAX($M$2:M93)+1,0)</f>
        <v>92</v>
      </c>
      <c r="V94" s="325" t="s">
        <v>1209</v>
      </c>
      <c r="W94" t="str">
        <f>IFERROR(VLOOKUP(ROWS($W$3:W94),$U$3:$V$992,2,0),"")</f>
        <v>Dobývání kamene, písků a jílů</v>
      </c>
      <c r="X94">
        <f>IF(ISNUMBER(SEARCH('1Př1'!$A$34,N94)),MAX($M$2:M93)+1,0)</f>
        <v>92</v>
      </c>
      <c r="Y94" s="325" t="s">
        <v>1209</v>
      </c>
      <c r="Z94" t="str">
        <f>IFERROR(VLOOKUP(ROWS($Z$3:Z94),$X$3:$Y$992,2,0),"")</f>
        <v>Dobývání kamene, písků a jílů</v>
      </c>
    </row>
    <row r="95" spans="1:26" ht="12.75" customHeight="1">
      <c r="A95" s="301"/>
      <c r="B95" s="301"/>
      <c r="C95" s="301"/>
      <c r="D95" s="317">
        <f>IF(ISNUMBER(SEARCH(ZAKL_DATA!$B$14,E95)),MAX($D$2:D94)+1,0)</f>
        <v>93</v>
      </c>
      <c r="E95" s="330" t="s">
        <v>1211</v>
      </c>
      <c r="F95" s="331">
        <v>2601</v>
      </c>
      <c r="G95" s="332"/>
      <c r="H95" s="333" t="str">
        <f>IFERROR(VLOOKUP(ROWS($H$3:H95),$D$3:$E$204,2,0),"")</f>
        <v>LIBEREC</v>
      </c>
      <c r="I95" s="301"/>
      <c r="J95" s="335" t="s">
        <v>1212</v>
      </c>
      <c r="K95" s="323" t="s">
        <v>1213</v>
      </c>
      <c r="M95" s="324">
        <f>IF(ISNUMBER(SEARCH(ZAKL_DATA!$B$29,N95)),MAX($M$2:M94)+1,0)</f>
        <v>93</v>
      </c>
      <c r="N95" s="325" t="s">
        <v>1214</v>
      </c>
      <c r="O95" s="326" t="s">
        <v>1215</v>
      </c>
      <c r="Q95" s="327" t="str">
        <f>IFERROR(VLOOKUP(ROWS($Q$3:Q95),$M$3:$N$992,2,0),"")</f>
        <v>Administrativní, kancelářské a jiné podpůrné činnosti pro podnikání</v>
      </c>
      <c r="R95">
        <f>IF(ISNUMBER(SEARCH('1Př1'!$A$32,N95)),MAX($M$2:M94)+1,0)</f>
        <v>93</v>
      </c>
      <c r="S95" s="325" t="s">
        <v>1214</v>
      </c>
      <c r="T95" t="str">
        <f>IFERROR(VLOOKUP(ROWS($T$3:T95),$R$3:$S$992,2,0),"")</f>
        <v>Administrativní, kancelářské a jiné podpůrné činnosti pro podnikání</v>
      </c>
      <c r="U95">
        <f>IF(ISNUMBER(SEARCH('1Př1'!$A$33,N95)),MAX($M$2:M94)+1,0)</f>
        <v>93</v>
      </c>
      <c r="V95" s="325" t="s">
        <v>1214</v>
      </c>
      <c r="W95" t="str">
        <f>IFERROR(VLOOKUP(ROWS($W$3:W95),$U$3:$V$992,2,0),"")</f>
        <v>Administrativní, kancelářské a jiné podpůrné činnosti pro podnikání</v>
      </c>
      <c r="X95">
        <f>IF(ISNUMBER(SEARCH('1Př1'!$A$34,N95)),MAX($M$2:M94)+1,0)</f>
        <v>93</v>
      </c>
      <c r="Y95" s="325" t="s">
        <v>1214</v>
      </c>
      <c r="Z95" t="str">
        <f>IFERROR(VLOOKUP(ROWS($Z$3:Z95),$X$3:$Y$992,2,0),"")</f>
        <v>Administrativní, kancelářské a jiné podpůrné činnosti pro podnikání</v>
      </c>
    </row>
    <row r="96" spans="1:26" ht="12.75" customHeight="1">
      <c r="A96" s="301"/>
      <c r="B96" s="301"/>
      <c r="C96" s="301"/>
      <c r="D96" s="317">
        <f>IF(ISNUMBER(SEARCH(ZAKL_DATA!$B$14,E96)),MAX($D$2:D95)+1,0)</f>
        <v>94</v>
      </c>
      <c r="E96" s="330" t="s">
        <v>1216</v>
      </c>
      <c r="F96" s="331">
        <v>2602</v>
      </c>
      <c r="G96" s="332"/>
      <c r="H96" s="333" t="str">
        <f>IFERROR(VLOOKUP(ROWS($H$3:H96),$D$3:$E$204,2,0),"")</f>
        <v>ČESKÁ LÍPA</v>
      </c>
      <c r="I96" s="301"/>
      <c r="J96" s="335" t="s">
        <v>1217</v>
      </c>
      <c r="K96" s="323" t="s">
        <v>1218</v>
      </c>
      <c r="M96" s="324">
        <f>IF(ISNUMBER(SEARCH(ZAKL_DATA!$B$29,N96)),MAX($M$2:M95)+1,0)</f>
        <v>94</v>
      </c>
      <c r="N96" s="325" t="s">
        <v>1219</v>
      </c>
      <c r="O96" s="326" t="s">
        <v>1220</v>
      </c>
      <c r="Q96" s="327" t="str">
        <f>IFERROR(VLOOKUP(ROWS($Q$3:Q96),$M$3:$N$992,2,0),"")</f>
        <v>Veřejná správa a obrana; povinné sociální zabezpečení</v>
      </c>
      <c r="R96">
        <f>IF(ISNUMBER(SEARCH('1Př1'!$A$32,N96)),MAX($M$2:M95)+1,0)</f>
        <v>94</v>
      </c>
      <c r="S96" s="325" t="s">
        <v>1219</v>
      </c>
      <c r="T96" t="str">
        <f>IFERROR(VLOOKUP(ROWS($T$3:T96),$R$3:$S$992,2,0),"")</f>
        <v>Veřejná správa a obrana; povinné sociální zabezpečení</v>
      </c>
      <c r="U96">
        <f>IF(ISNUMBER(SEARCH('1Př1'!$A$33,N96)),MAX($M$2:M95)+1,0)</f>
        <v>94</v>
      </c>
      <c r="V96" s="325" t="s">
        <v>1219</v>
      </c>
      <c r="W96" t="str">
        <f>IFERROR(VLOOKUP(ROWS($W$3:W96),$U$3:$V$992,2,0),"")</f>
        <v>Veřejná správa a obrana; povinné sociální zabezpečení</v>
      </c>
      <c r="X96">
        <f>IF(ISNUMBER(SEARCH('1Př1'!$A$34,N96)),MAX($M$2:M95)+1,0)</f>
        <v>94</v>
      </c>
      <c r="Y96" s="325" t="s">
        <v>1219</v>
      </c>
      <c r="Z96" t="str">
        <f>IFERROR(VLOOKUP(ROWS($Z$3:Z96),$X$3:$Y$992,2,0),"")</f>
        <v>Veřejná správa a obrana; povinné sociální zabezpečení</v>
      </c>
    </row>
    <row r="97" spans="1:26" ht="12.75" customHeight="1">
      <c r="A97" s="301"/>
      <c r="B97" s="301"/>
      <c r="C97" s="301"/>
      <c r="D97" s="317">
        <f>IF(ISNUMBER(SEARCH(ZAKL_DATA!$B$14,E97)),MAX($D$2:D96)+1,0)</f>
        <v>95</v>
      </c>
      <c r="E97" s="330" t="s">
        <v>1221</v>
      </c>
      <c r="F97" s="331">
        <v>2603</v>
      </c>
      <c r="G97" s="332"/>
      <c r="H97" s="333" t="str">
        <f>IFERROR(VLOOKUP(ROWS($H$3:H97),$D$3:$E$204,2,0),"")</f>
        <v>FRÝDLANT</v>
      </c>
      <c r="I97" s="301"/>
      <c r="J97" s="335" t="s">
        <v>1222</v>
      </c>
      <c r="K97" s="323" t="s">
        <v>1223</v>
      </c>
      <c r="M97" s="324">
        <f>IF(ISNUMBER(SEARCH(ZAKL_DATA!$B$29,N97)),MAX($M$2:M96)+1,0)</f>
        <v>95</v>
      </c>
      <c r="N97" s="325" t="s">
        <v>1224</v>
      </c>
      <c r="O97" s="326" t="s">
        <v>1225</v>
      </c>
      <c r="Q97" s="327" t="str">
        <f>IFERROR(VLOOKUP(ROWS($Q$3:Q97),$M$3:$N$992,2,0),"")</f>
        <v>Vzdělávání</v>
      </c>
      <c r="R97">
        <f>IF(ISNUMBER(SEARCH('1Př1'!$A$32,N97)),MAX($M$2:M96)+1,0)</f>
        <v>95</v>
      </c>
      <c r="S97" s="325" t="s">
        <v>1224</v>
      </c>
      <c r="T97" t="str">
        <f>IFERROR(VLOOKUP(ROWS($T$3:T97),$R$3:$S$992,2,0),"")</f>
        <v>Vzdělávání</v>
      </c>
      <c r="U97">
        <f>IF(ISNUMBER(SEARCH('1Př1'!$A$33,N97)),MAX($M$2:M96)+1,0)</f>
        <v>95</v>
      </c>
      <c r="V97" s="325" t="s">
        <v>1224</v>
      </c>
      <c r="W97" t="str">
        <f>IFERROR(VLOOKUP(ROWS($W$3:W97),$U$3:$V$992,2,0),"")</f>
        <v>Vzdělávání</v>
      </c>
      <c r="X97">
        <f>IF(ISNUMBER(SEARCH('1Př1'!$A$34,N97)),MAX($M$2:M96)+1,0)</f>
        <v>95</v>
      </c>
      <c r="Y97" s="325" t="s">
        <v>1224</v>
      </c>
      <c r="Z97" t="str">
        <f>IFERROR(VLOOKUP(ROWS($Z$3:Z97),$X$3:$Y$992,2,0),"")</f>
        <v>Vzdělávání</v>
      </c>
    </row>
    <row r="98" spans="1:26" ht="12.75" customHeight="1">
      <c r="A98" s="301"/>
      <c r="B98" s="301"/>
      <c r="C98" s="301"/>
      <c r="D98" s="317">
        <f>IF(ISNUMBER(SEARCH(ZAKL_DATA!$B$14,E98)),MAX($D$2:D97)+1,0)</f>
        <v>96</v>
      </c>
      <c r="E98" s="330" t="s">
        <v>1226</v>
      </c>
      <c r="F98" s="331">
        <v>2604</v>
      </c>
      <c r="G98" s="332"/>
      <c r="H98" s="333" t="str">
        <f>IFERROR(VLOOKUP(ROWS($H$3:H98),$D$3:$E$204,2,0),"")</f>
        <v>JABLONEC NAD NISOU</v>
      </c>
      <c r="I98" s="301"/>
      <c r="J98" s="335" t="s">
        <v>1227</v>
      </c>
      <c r="K98" s="323" t="s">
        <v>1228</v>
      </c>
      <c r="M98" s="324">
        <f>IF(ISNUMBER(SEARCH(ZAKL_DATA!$B$29,N98)),MAX($M$2:M97)+1,0)</f>
        <v>96</v>
      </c>
      <c r="N98" s="325" t="s">
        <v>1229</v>
      </c>
      <c r="O98" s="326" t="s">
        <v>1230</v>
      </c>
      <c r="Q98" s="327" t="str">
        <f>IFERROR(VLOOKUP(ROWS($Q$3:Q98),$M$3:$N$992,2,0),"")</f>
        <v>Zdravotní péče</v>
      </c>
      <c r="R98">
        <f>IF(ISNUMBER(SEARCH('1Př1'!$A$32,N98)),MAX($M$2:M97)+1,0)</f>
        <v>96</v>
      </c>
      <c r="S98" s="325" t="s">
        <v>1229</v>
      </c>
      <c r="T98" t="str">
        <f>IFERROR(VLOOKUP(ROWS($T$3:T98),$R$3:$S$992,2,0),"")</f>
        <v>Zdravotní péče</v>
      </c>
      <c r="U98">
        <f>IF(ISNUMBER(SEARCH('1Př1'!$A$33,N98)),MAX($M$2:M97)+1,0)</f>
        <v>96</v>
      </c>
      <c r="V98" s="325" t="s">
        <v>1229</v>
      </c>
      <c r="W98" t="str">
        <f>IFERROR(VLOOKUP(ROWS($W$3:W98),$U$3:$V$992,2,0),"")</f>
        <v>Zdravotní péče</v>
      </c>
      <c r="X98">
        <f>IF(ISNUMBER(SEARCH('1Př1'!$A$34,N98)),MAX($M$2:M97)+1,0)</f>
        <v>96</v>
      </c>
      <c r="Y98" s="325" t="s">
        <v>1229</v>
      </c>
      <c r="Z98" t="str">
        <f>IFERROR(VLOOKUP(ROWS($Z$3:Z98),$X$3:$Y$992,2,0),"")</f>
        <v>Zdravotní péče</v>
      </c>
    </row>
    <row r="99" spans="1:26" ht="12.75" customHeight="1">
      <c r="A99" s="301"/>
      <c r="B99" s="301"/>
      <c r="C99" s="301"/>
      <c r="D99" s="317">
        <f>IF(ISNUMBER(SEARCH(ZAKL_DATA!$B$14,E99)),MAX($D$2:D98)+1,0)</f>
        <v>97</v>
      </c>
      <c r="E99" s="330" t="s">
        <v>1231</v>
      </c>
      <c r="F99" s="331">
        <v>2605</v>
      </c>
      <c r="G99" s="332"/>
      <c r="H99" s="333" t="str">
        <f>IFERROR(VLOOKUP(ROWS($H$3:H99),$D$3:$E$204,2,0),"")</f>
        <v>JILEMNICE</v>
      </c>
      <c r="I99" s="301"/>
      <c r="J99" s="335" t="s">
        <v>1232</v>
      </c>
      <c r="K99" s="323" t="s">
        <v>1233</v>
      </c>
      <c r="M99" s="324">
        <f>IF(ISNUMBER(SEARCH(ZAKL_DATA!$B$29,N99)),MAX($M$2:M98)+1,0)</f>
        <v>97</v>
      </c>
      <c r="N99" s="325" t="s">
        <v>1234</v>
      </c>
      <c r="O99" s="326" t="s">
        <v>1235</v>
      </c>
      <c r="Q99" s="327" t="str">
        <f>IFERROR(VLOOKUP(ROWS($Q$3:Q99),$M$3:$N$992,2,0),"")</f>
        <v>Pobytové služby sociální péče</v>
      </c>
      <c r="R99">
        <f>IF(ISNUMBER(SEARCH('1Př1'!$A$32,N99)),MAX($M$2:M98)+1,0)</f>
        <v>97</v>
      </c>
      <c r="S99" s="325" t="s">
        <v>1234</v>
      </c>
      <c r="T99" t="str">
        <f>IFERROR(VLOOKUP(ROWS($T$3:T99),$R$3:$S$992,2,0),"")</f>
        <v>Pobytové služby sociální péče</v>
      </c>
      <c r="U99">
        <f>IF(ISNUMBER(SEARCH('1Př1'!$A$33,N99)),MAX($M$2:M98)+1,0)</f>
        <v>97</v>
      </c>
      <c r="V99" s="325" t="s">
        <v>1234</v>
      </c>
      <c r="W99" t="str">
        <f>IFERROR(VLOOKUP(ROWS($W$3:W99),$U$3:$V$992,2,0),"")</f>
        <v>Pobytové služby sociální péče</v>
      </c>
      <c r="X99">
        <f>IF(ISNUMBER(SEARCH('1Př1'!$A$34,N99)),MAX($M$2:M98)+1,0)</f>
        <v>97</v>
      </c>
      <c r="Y99" s="325" t="s">
        <v>1234</v>
      </c>
      <c r="Z99" t="str">
        <f>IFERROR(VLOOKUP(ROWS($Z$3:Z99),$X$3:$Y$992,2,0),"")</f>
        <v>Pobytové služby sociální péče</v>
      </c>
    </row>
    <row r="100" spans="1:26" ht="12.75" customHeight="1">
      <c r="A100" s="301"/>
      <c r="B100" s="301"/>
      <c r="C100" s="301"/>
      <c r="D100" s="317">
        <f>IF(ISNUMBER(SEARCH(ZAKL_DATA!$B$14,E100)),MAX($D$2:D99)+1,0)</f>
        <v>98</v>
      </c>
      <c r="E100" s="330" t="s">
        <v>1236</v>
      </c>
      <c r="F100" s="331">
        <v>2606</v>
      </c>
      <c r="G100" s="332"/>
      <c r="H100" s="333" t="str">
        <f>IFERROR(VLOOKUP(ROWS($H$3:H100),$D$3:$E$204,2,0),"")</f>
        <v>NOVÝ BOR</v>
      </c>
      <c r="I100" s="301"/>
      <c r="J100" s="335" t="s">
        <v>1237</v>
      </c>
      <c r="K100" s="323" t="s">
        <v>1238</v>
      </c>
      <c r="M100" s="324">
        <f>IF(ISNUMBER(SEARCH(ZAKL_DATA!$B$29,N100)),MAX($M$2:M99)+1,0)</f>
        <v>98</v>
      </c>
      <c r="N100" s="325" t="s">
        <v>1239</v>
      </c>
      <c r="O100" s="326" t="s">
        <v>1240</v>
      </c>
      <c r="Q100" s="327" t="str">
        <f>IFERROR(VLOOKUP(ROWS($Q$3:Q100),$M$3:$N$992,2,0),"")</f>
        <v>Ambulantní nebo terénní sociální služby</v>
      </c>
      <c r="R100">
        <f>IF(ISNUMBER(SEARCH('1Př1'!$A$32,N100)),MAX($M$2:M99)+1,0)</f>
        <v>98</v>
      </c>
      <c r="S100" s="325" t="s">
        <v>1239</v>
      </c>
      <c r="T100" t="str">
        <f>IFERROR(VLOOKUP(ROWS($T$3:T100),$R$3:$S$992,2,0),"")</f>
        <v>Ambulantní nebo terénní sociální služby</v>
      </c>
      <c r="U100">
        <f>IF(ISNUMBER(SEARCH('1Př1'!$A$33,N100)),MAX($M$2:M99)+1,0)</f>
        <v>98</v>
      </c>
      <c r="V100" s="325" t="s">
        <v>1239</v>
      </c>
      <c r="W100" t="str">
        <f>IFERROR(VLOOKUP(ROWS($W$3:W100),$U$3:$V$992,2,0),"")</f>
        <v>Ambulantní nebo terénní sociální služby</v>
      </c>
      <c r="X100">
        <f>IF(ISNUMBER(SEARCH('1Př1'!$A$34,N100)),MAX($M$2:M99)+1,0)</f>
        <v>98</v>
      </c>
      <c r="Y100" s="325" t="s">
        <v>1239</v>
      </c>
      <c r="Z100" t="str">
        <f>IFERROR(VLOOKUP(ROWS($Z$3:Z100),$X$3:$Y$992,2,0),"")</f>
        <v>Ambulantní nebo terénní sociální služby</v>
      </c>
    </row>
    <row r="101" spans="1:26" ht="12.75" customHeight="1">
      <c r="A101" s="301"/>
      <c r="B101" s="301"/>
      <c r="C101" s="301"/>
      <c r="D101" s="317">
        <f>IF(ISNUMBER(SEARCH(ZAKL_DATA!$B$14,E101)),MAX($D$2:D100)+1,0)</f>
        <v>99</v>
      </c>
      <c r="E101" s="330" t="s">
        <v>1241</v>
      </c>
      <c r="F101" s="331">
        <v>2607</v>
      </c>
      <c r="G101" s="332"/>
      <c r="H101" s="333" t="str">
        <f>IFERROR(VLOOKUP(ROWS($H$3:H101),$D$3:$E$204,2,0),"")</f>
        <v>SEMILY</v>
      </c>
      <c r="I101" s="301"/>
      <c r="J101" s="335" t="s">
        <v>1242</v>
      </c>
      <c r="K101" s="323" t="s">
        <v>1243</v>
      </c>
      <c r="M101" s="324">
        <f>IF(ISNUMBER(SEARCH(ZAKL_DATA!$B$29,N101)),MAX($M$2:M100)+1,0)</f>
        <v>99</v>
      </c>
      <c r="N101" s="325" t="s">
        <v>1244</v>
      </c>
      <c r="O101" s="326" t="s">
        <v>1245</v>
      </c>
      <c r="Q101" s="327" t="str">
        <f>IFERROR(VLOOKUP(ROWS($Q$3:Q101),$M$3:$N$992,2,0),"")</f>
        <v>Těžba a dobývání j. n.</v>
      </c>
      <c r="R101">
        <f>IF(ISNUMBER(SEARCH('1Př1'!$A$32,N101)),MAX($M$2:M100)+1,0)</f>
        <v>99</v>
      </c>
      <c r="S101" s="325" t="s">
        <v>1244</v>
      </c>
      <c r="T101" t="str">
        <f>IFERROR(VLOOKUP(ROWS($T$3:T101),$R$3:$S$992,2,0),"")</f>
        <v>Těžba a dobývání j. n.</v>
      </c>
      <c r="U101">
        <f>IF(ISNUMBER(SEARCH('1Př1'!$A$33,N101)),MAX($M$2:M100)+1,0)</f>
        <v>99</v>
      </c>
      <c r="V101" s="325" t="s">
        <v>1244</v>
      </c>
      <c r="W101" t="str">
        <f>IFERROR(VLOOKUP(ROWS($W$3:W101),$U$3:$V$992,2,0),"")</f>
        <v>Těžba a dobývání j. n.</v>
      </c>
      <c r="X101">
        <f>IF(ISNUMBER(SEARCH('1Př1'!$A$34,N101)),MAX($M$2:M100)+1,0)</f>
        <v>99</v>
      </c>
      <c r="Y101" s="325" t="s">
        <v>1244</v>
      </c>
      <c r="Z101" t="str">
        <f>IFERROR(VLOOKUP(ROWS($Z$3:Z101),$X$3:$Y$992,2,0),"")</f>
        <v>Těžba a dobývání j. n.</v>
      </c>
    </row>
    <row r="102" spans="1:26" ht="12.75" customHeight="1">
      <c r="A102" s="301"/>
      <c r="B102" s="301"/>
      <c r="C102" s="301"/>
      <c r="D102" s="317">
        <f>IF(ISNUMBER(SEARCH(ZAKL_DATA!$B$14,E102)),MAX($D$2:D101)+1,0)</f>
        <v>100</v>
      </c>
      <c r="E102" s="330" t="s">
        <v>1246</v>
      </c>
      <c r="F102" s="331">
        <v>2608</v>
      </c>
      <c r="G102" s="332"/>
      <c r="H102" s="333" t="str">
        <f>IFERROR(VLOOKUP(ROWS($H$3:H102),$D$3:$E$204,2,0),"")</f>
        <v>TANVALD</v>
      </c>
      <c r="I102" s="301"/>
      <c r="J102" s="335" t="s">
        <v>1247</v>
      </c>
      <c r="K102" s="323" t="s">
        <v>1248</v>
      </c>
      <c r="M102" s="324">
        <f>IF(ISNUMBER(SEARCH(ZAKL_DATA!$B$29,N102)),MAX($M$2:M101)+1,0)</f>
        <v>100</v>
      </c>
      <c r="N102" s="325" t="s">
        <v>1249</v>
      </c>
      <c r="O102" s="326" t="s">
        <v>1250</v>
      </c>
      <c r="Q102" s="327" t="str">
        <f>IFERROR(VLOOKUP(ROWS($Q$3:Q102),$M$3:$N$992,2,0),"")</f>
        <v>Tvůrčí, umělecké a zábavní činnosti</v>
      </c>
      <c r="R102">
        <f>IF(ISNUMBER(SEARCH('1Př1'!$A$32,N102)),MAX($M$2:M101)+1,0)</f>
        <v>100</v>
      </c>
      <c r="S102" s="325" t="s">
        <v>1249</v>
      </c>
      <c r="T102" t="str">
        <f>IFERROR(VLOOKUP(ROWS($T$3:T102),$R$3:$S$992,2,0),"")</f>
        <v>Tvůrčí, umělecké a zábavní činnosti</v>
      </c>
      <c r="U102">
        <f>IF(ISNUMBER(SEARCH('1Př1'!$A$33,N102)),MAX($M$2:M101)+1,0)</f>
        <v>100</v>
      </c>
      <c r="V102" s="325" t="s">
        <v>1249</v>
      </c>
      <c r="W102" t="str">
        <f>IFERROR(VLOOKUP(ROWS($W$3:W102),$U$3:$V$992,2,0),"")</f>
        <v>Tvůrčí, umělecké a zábavní činnosti</v>
      </c>
      <c r="X102">
        <f>IF(ISNUMBER(SEARCH('1Př1'!$A$34,N102)),MAX($M$2:M101)+1,0)</f>
        <v>100</v>
      </c>
      <c r="Y102" s="325" t="s">
        <v>1249</v>
      </c>
      <c r="Z102" t="str">
        <f>IFERROR(VLOOKUP(ROWS($Z$3:Z102),$X$3:$Y$992,2,0),"")</f>
        <v>Tvůrčí, umělecké a zábavní činnosti</v>
      </c>
    </row>
    <row r="103" spans="1:26" ht="12.75" customHeight="1">
      <c r="A103" s="301"/>
      <c r="B103" s="301"/>
      <c r="C103" s="301"/>
      <c r="D103" s="317">
        <f>IF(ISNUMBER(SEARCH(ZAKL_DATA!$B$14,E103)),MAX($D$2:D102)+1,0)</f>
        <v>101</v>
      </c>
      <c r="E103" s="330" t="s">
        <v>1251</v>
      </c>
      <c r="F103" s="331">
        <v>2609</v>
      </c>
      <c r="G103" s="332"/>
      <c r="H103" s="333" t="str">
        <f>IFERROR(VLOOKUP(ROWS($H$3:H103),$D$3:$E$204,2,0),"")</f>
        <v>TURNOV</v>
      </c>
      <c r="I103" s="301"/>
      <c r="J103" s="335" t="s">
        <v>1252</v>
      </c>
      <c r="K103" s="323" t="s">
        <v>1253</v>
      </c>
      <c r="M103" s="324">
        <f>IF(ISNUMBER(SEARCH(ZAKL_DATA!$B$29,N103)),MAX($M$2:M102)+1,0)</f>
        <v>101</v>
      </c>
      <c r="N103" s="325" t="s">
        <v>1254</v>
      </c>
      <c r="O103" s="326" t="s">
        <v>1255</v>
      </c>
      <c r="Q103" s="327" t="str">
        <f>IFERROR(VLOOKUP(ROWS($Q$3:Q103),$M$3:$N$992,2,0),"")</f>
        <v>Činnosti knihoven, archivů, muzeí a jiných kulturních zařízení</v>
      </c>
      <c r="R103">
        <f>IF(ISNUMBER(SEARCH('1Př1'!$A$32,N103)),MAX($M$2:M102)+1,0)</f>
        <v>101</v>
      </c>
      <c r="S103" s="325" t="s">
        <v>1254</v>
      </c>
      <c r="T103" t="str">
        <f>IFERROR(VLOOKUP(ROWS($T$3:T103),$R$3:$S$992,2,0),"")</f>
        <v>Činnosti knihoven, archivů, muzeí a jiných kulturních zařízení</v>
      </c>
      <c r="U103">
        <f>IF(ISNUMBER(SEARCH('1Př1'!$A$33,N103)),MAX($M$2:M102)+1,0)</f>
        <v>101</v>
      </c>
      <c r="V103" s="325" t="s">
        <v>1254</v>
      </c>
      <c r="W103" t="str">
        <f>IFERROR(VLOOKUP(ROWS($W$3:W103),$U$3:$V$992,2,0),"")</f>
        <v>Činnosti knihoven, archivů, muzeí a jiných kulturních zařízení</v>
      </c>
      <c r="X103">
        <f>IF(ISNUMBER(SEARCH('1Př1'!$A$34,N103)),MAX($M$2:M102)+1,0)</f>
        <v>101</v>
      </c>
      <c r="Y103" s="325" t="s">
        <v>1254</v>
      </c>
      <c r="Z103" t="str">
        <f>IFERROR(VLOOKUP(ROWS($Z$3:Z103),$X$3:$Y$992,2,0),"")</f>
        <v>Činnosti knihoven, archivů, muzeí a jiných kulturních zařízení</v>
      </c>
    </row>
    <row r="104" spans="1:26" ht="12.75" customHeight="1">
      <c r="A104" s="301"/>
      <c r="B104" s="301"/>
      <c r="C104" s="301"/>
      <c r="D104" s="317">
        <f>IF(ISNUMBER(SEARCH(ZAKL_DATA!$B$14,E104)),MAX($D$2:D103)+1,0)</f>
        <v>102</v>
      </c>
      <c r="E104" s="330" t="s">
        <v>1256</v>
      </c>
      <c r="F104" s="331">
        <v>2610</v>
      </c>
      <c r="G104" s="332"/>
      <c r="H104" s="333" t="str">
        <f>IFERROR(VLOOKUP(ROWS($H$3:H104),$D$3:$E$204,2,0),"")</f>
        <v>ŽELEZNÝ BROD</v>
      </c>
      <c r="I104" s="301"/>
      <c r="J104" s="335" t="s">
        <v>1257</v>
      </c>
      <c r="K104" s="323" t="s">
        <v>1258</v>
      </c>
      <c r="M104" s="324">
        <f>IF(ISNUMBER(SEARCH(ZAKL_DATA!$B$29,N104)),MAX($M$2:M103)+1,0)</f>
        <v>102</v>
      </c>
      <c r="N104" s="325" t="s">
        <v>1259</v>
      </c>
      <c r="O104" s="326" t="s">
        <v>1260</v>
      </c>
      <c r="Q104" s="327" t="str">
        <f>IFERROR(VLOOKUP(ROWS($Q$3:Q104),$M$3:$N$992,2,0),"")</f>
        <v>Podpůrné činnosti při těžbě ropy a zemního plynu</v>
      </c>
      <c r="R104">
        <f>IF(ISNUMBER(SEARCH('1Př1'!$A$32,N104)),MAX($M$2:M103)+1,0)</f>
        <v>102</v>
      </c>
      <c r="S104" s="325" t="s">
        <v>1259</v>
      </c>
      <c r="T104" t="str">
        <f>IFERROR(VLOOKUP(ROWS($T$3:T104),$R$3:$S$992,2,0),"")</f>
        <v>Podpůrné činnosti při těžbě ropy a zemního plynu</v>
      </c>
      <c r="U104">
        <f>IF(ISNUMBER(SEARCH('1Př1'!$A$33,N104)),MAX($M$2:M103)+1,0)</f>
        <v>102</v>
      </c>
      <c r="V104" s="325" t="s">
        <v>1259</v>
      </c>
      <c r="W104" t="str">
        <f>IFERROR(VLOOKUP(ROWS($W$3:W104),$U$3:$V$992,2,0),"")</f>
        <v>Podpůrné činnosti při těžbě ropy a zemního plynu</v>
      </c>
      <c r="X104">
        <f>IF(ISNUMBER(SEARCH('1Př1'!$A$34,N104)),MAX($M$2:M103)+1,0)</f>
        <v>102</v>
      </c>
      <c r="Y104" s="325" t="s">
        <v>1259</v>
      </c>
      <c r="Z104" t="str">
        <f>IFERROR(VLOOKUP(ROWS($Z$3:Z104),$X$3:$Y$992,2,0),"")</f>
        <v>Podpůrné činnosti při těžbě ropy a zemního plynu</v>
      </c>
    </row>
    <row r="105" spans="1:26" ht="12.75" customHeight="1">
      <c r="A105" s="301"/>
      <c r="B105" s="301"/>
      <c r="C105" s="301"/>
      <c r="D105" s="317">
        <f>IF(ISNUMBER(SEARCH(ZAKL_DATA!$B$14,E105)),MAX($D$2:D104)+1,0)</f>
        <v>103</v>
      </c>
      <c r="E105" s="330" t="s">
        <v>1261</v>
      </c>
      <c r="F105" s="331">
        <v>2701</v>
      </c>
      <c r="G105" s="332"/>
      <c r="H105" s="333" t="str">
        <f>IFERROR(VLOOKUP(ROWS($H$3:H105),$D$3:$E$204,2,0),"")</f>
        <v>HRADEC KRÁLOVÉ</v>
      </c>
      <c r="I105" s="301"/>
      <c r="J105" s="335" t="s">
        <v>1262</v>
      </c>
      <c r="K105" s="323" t="s">
        <v>1263</v>
      </c>
      <c r="M105" s="324">
        <f>IF(ISNUMBER(SEARCH(ZAKL_DATA!$B$29,N105)),MAX($M$2:M104)+1,0)</f>
        <v>103</v>
      </c>
      <c r="N105" s="325" t="s">
        <v>1264</v>
      </c>
      <c r="O105" s="326" t="s">
        <v>1265</v>
      </c>
      <c r="Q105" s="327" t="str">
        <f>IFERROR(VLOOKUP(ROWS($Q$3:Q105),$M$3:$N$992,2,0),"")</f>
        <v>Činnosti heren, kasin a sázkových kanceláří</v>
      </c>
      <c r="R105">
        <f>IF(ISNUMBER(SEARCH('1Př1'!$A$32,N105)),MAX($M$2:M104)+1,0)</f>
        <v>103</v>
      </c>
      <c r="S105" s="325" t="s">
        <v>1264</v>
      </c>
      <c r="T105" t="str">
        <f>IFERROR(VLOOKUP(ROWS($T$3:T105),$R$3:$S$992,2,0),"")</f>
        <v>Činnosti heren, kasin a sázkových kanceláří</v>
      </c>
      <c r="U105">
        <f>IF(ISNUMBER(SEARCH('1Př1'!$A$33,N105)),MAX($M$2:M104)+1,0)</f>
        <v>103</v>
      </c>
      <c r="V105" s="325" t="s">
        <v>1264</v>
      </c>
      <c r="W105" t="str">
        <f>IFERROR(VLOOKUP(ROWS($W$3:W105),$U$3:$V$992,2,0),"")</f>
        <v>Činnosti heren, kasin a sázkových kanceláří</v>
      </c>
      <c r="X105">
        <f>IF(ISNUMBER(SEARCH('1Př1'!$A$34,N105)),MAX($M$2:M104)+1,0)</f>
        <v>103</v>
      </c>
      <c r="Y105" s="325" t="s">
        <v>1264</v>
      </c>
      <c r="Z105" t="str">
        <f>IFERROR(VLOOKUP(ROWS($Z$3:Z105),$X$3:$Y$992,2,0),"")</f>
        <v>Činnosti heren, kasin a sázkových kanceláří</v>
      </c>
    </row>
    <row r="106" spans="1:26" ht="12.75" customHeight="1">
      <c r="A106" s="301"/>
      <c r="B106" s="301"/>
      <c r="C106" s="301"/>
      <c r="D106" s="317">
        <f>IF(ISNUMBER(SEARCH(ZAKL_DATA!$B$14,E106)),MAX($D$2:D105)+1,0)</f>
        <v>104</v>
      </c>
      <c r="E106" s="330" t="s">
        <v>1266</v>
      </c>
      <c r="F106" s="331">
        <v>2702</v>
      </c>
      <c r="G106" s="332"/>
      <c r="H106" s="333" t="str">
        <f>IFERROR(VLOOKUP(ROWS($H$3:H106),$D$3:$E$204,2,0),"")</f>
        <v>BROUMOV</v>
      </c>
      <c r="I106" s="301"/>
      <c r="J106" s="335" t="s">
        <v>1267</v>
      </c>
      <c r="K106" s="323" t="s">
        <v>1268</v>
      </c>
      <c r="M106" s="324">
        <f>IF(ISNUMBER(SEARCH(ZAKL_DATA!$B$29,N106)),MAX($M$2:M105)+1,0)</f>
        <v>104</v>
      </c>
      <c r="N106" s="325" t="s">
        <v>1269</v>
      </c>
      <c r="O106" s="326" t="s">
        <v>1270</v>
      </c>
      <c r="Q106" s="327" t="str">
        <f>IFERROR(VLOOKUP(ROWS($Q$3:Q106),$M$3:$N$992,2,0),"")</f>
        <v>Sportovní, zábavní a rekreační činnosti</v>
      </c>
      <c r="R106">
        <f>IF(ISNUMBER(SEARCH('1Př1'!$A$32,N106)),MAX($M$2:M105)+1,0)</f>
        <v>104</v>
      </c>
      <c r="S106" s="325" t="s">
        <v>1269</v>
      </c>
      <c r="T106" t="str">
        <f>IFERROR(VLOOKUP(ROWS($T$3:T106),$R$3:$S$992,2,0),"")</f>
        <v>Sportovní, zábavní a rekreační činnosti</v>
      </c>
      <c r="U106">
        <f>IF(ISNUMBER(SEARCH('1Př1'!$A$33,N106)),MAX($M$2:M105)+1,0)</f>
        <v>104</v>
      </c>
      <c r="V106" s="325" t="s">
        <v>1269</v>
      </c>
      <c r="W106" t="str">
        <f>IFERROR(VLOOKUP(ROWS($W$3:W106),$U$3:$V$992,2,0),"")</f>
        <v>Sportovní, zábavní a rekreační činnosti</v>
      </c>
      <c r="X106">
        <f>IF(ISNUMBER(SEARCH('1Př1'!$A$34,N106)),MAX($M$2:M105)+1,0)</f>
        <v>104</v>
      </c>
      <c r="Y106" s="325" t="s">
        <v>1269</v>
      </c>
      <c r="Z106" t="str">
        <f>IFERROR(VLOOKUP(ROWS($Z$3:Z106),$X$3:$Y$992,2,0),"")</f>
        <v>Sportovní, zábavní a rekreační činnosti</v>
      </c>
    </row>
    <row r="107" spans="1:26" ht="12.75" customHeight="1">
      <c r="A107" s="301"/>
      <c r="B107" s="301"/>
      <c r="C107" s="301"/>
      <c r="D107" s="317">
        <f>IF(ISNUMBER(SEARCH(ZAKL_DATA!$B$14,E107)),MAX($D$2:D106)+1,0)</f>
        <v>105</v>
      </c>
      <c r="E107" s="330" t="s">
        <v>1271</v>
      </c>
      <c r="F107" s="331">
        <v>2703</v>
      </c>
      <c r="G107" s="332"/>
      <c r="H107" s="333" t="str">
        <f>IFERROR(VLOOKUP(ROWS($H$3:H107),$D$3:$E$204,2,0),"")</f>
        <v>DOBRUŠKA</v>
      </c>
      <c r="I107" s="301"/>
      <c r="J107" s="335" t="s">
        <v>1272</v>
      </c>
      <c r="K107" s="323" t="s">
        <v>1273</v>
      </c>
      <c r="M107" s="324">
        <f>IF(ISNUMBER(SEARCH(ZAKL_DATA!$B$29,N107)),MAX($M$2:M106)+1,0)</f>
        <v>105</v>
      </c>
      <c r="N107" s="325" t="s">
        <v>1274</v>
      </c>
      <c r="O107" s="326" t="s">
        <v>1275</v>
      </c>
      <c r="Q107" s="327" t="str">
        <f>IFERROR(VLOOKUP(ROWS($Q$3:Q107),$M$3:$N$992,2,0),"")</f>
        <v>Činnosti organizací sdružujících osoby za účelem prosazování spol.zájmů</v>
      </c>
      <c r="R107">
        <f>IF(ISNUMBER(SEARCH('1Př1'!$A$32,N107)),MAX($M$2:M106)+1,0)</f>
        <v>105</v>
      </c>
      <c r="S107" s="325" t="s">
        <v>1274</v>
      </c>
      <c r="T107" t="str">
        <f>IFERROR(VLOOKUP(ROWS($T$3:T107),$R$3:$S$992,2,0),"")</f>
        <v>Činnosti organizací sdružujících osoby za účelem prosazování spol.zájmů</v>
      </c>
      <c r="U107">
        <f>IF(ISNUMBER(SEARCH('1Př1'!$A$33,N107)),MAX($M$2:M106)+1,0)</f>
        <v>105</v>
      </c>
      <c r="V107" s="325" t="s">
        <v>1274</v>
      </c>
      <c r="W107" t="str">
        <f>IFERROR(VLOOKUP(ROWS($W$3:W107),$U$3:$V$992,2,0),"")</f>
        <v>Činnosti organizací sdružujících osoby za účelem prosazování spol.zájmů</v>
      </c>
      <c r="X107">
        <f>IF(ISNUMBER(SEARCH('1Př1'!$A$34,N107)),MAX($M$2:M106)+1,0)</f>
        <v>105</v>
      </c>
      <c r="Y107" s="325" t="s">
        <v>1274</v>
      </c>
      <c r="Z107" t="str">
        <f>IFERROR(VLOOKUP(ROWS($Z$3:Z107),$X$3:$Y$992,2,0),"")</f>
        <v>Činnosti organizací sdružujících osoby za účelem prosazování spol.zájmů</v>
      </c>
    </row>
    <row r="108" spans="1:26" ht="12.75" customHeight="1">
      <c r="A108" s="301"/>
      <c r="B108" s="301"/>
      <c r="C108" s="301"/>
      <c r="D108" s="317">
        <f>IF(ISNUMBER(SEARCH(ZAKL_DATA!$B$14,E108)),MAX($D$2:D107)+1,0)</f>
        <v>106</v>
      </c>
      <c r="E108" s="330" t="s">
        <v>1276</v>
      </c>
      <c r="F108" s="331">
        <v>2704</v>
      </c>
      <c r="G108" s="332"/>
      <c r="H108" s="333" t="str">
        <f>IFERROR(VLOOKUP(ROWS($H$3:H108),$D$3:$E$204,2,0),"")</f>
        <v>DVŮR KRÁLOVÉ</v>
      </c>
      <c r="I108" s="301"/>
      <c r="J108" s="335" t="s">
        <v>1277</v>
      </c>
      <c r="K108" s="323" t="s">
        <v>1278</v>
      </c>
      <c r="M108" s="324">
        <f>IF(ISNUMBER(SEARCH(ZAKL_DATA!$B$29,N108)),MAX($M$2:M107)+1,0)</f>
        <v>106</v>
      </c>
      <c r="N108" s="325" t="s">
        <v>1279</v>
      </c>
      <c r="O108" s="326" t="s">
        <v>1280</v>
      </c>
      <c r="Q108" s="327" t="str">
        <f>IFERROR(VLOOKUP(ROWS($Q$3:Q108),$M$3:$N$992,2,0),"")</f>
        <v>Opravy počítačů a výrobků pro osobní potřebu a převážně pro domácnost</v>
      </c>
      <c r="R108">
        <f>IF(ISNUMBER(SEARCH('1Př1'!$A$32,N108)),MAX($M$2:M107)+1,0)</f>
        <v>106</v>
      </c>
      <c r="S108" s="325" t="s">
        <v>1279</v>
      </c>
      <c r="T108" t="str">
        <f>IFERROR(VLOOKUP(ROWS($T$3:T108),$R$3:$S$992,2,0),"")</f>
        <v>Opravy počítačů a výrobků pro osobní potřebu a převážně pro domácnost</v>
      </c>
      <c r="U108">
        <f>IF(ISNUMBER(SEARCH('1Př1'!$A$33,N108)),MAX($M$2:M107)+1,0)</f>
        <v>106</v>
      </c>
      <c r="V108" s="325" t="s">
        <v>1279</v>
      </c>
      <c r="W108" t="str">
        <f>IFERROR(VLOOKUP(ROWS($W$3:W108),$U$3:$V$992,2,0),"")</f>
        <v>Opravy počítačů a výrobků pro osobní potřebu a převážně pro domácnost</v>
      </c>
      <c r="X108">
        <f>IF(ISNUMBER(SEARCH('1Př1'!$A$34,N108)),MAX($M$2:M107)+1,0)</f>
        <v>106</v>
      </c>
      <c r="Y108" s="325" t="s">
        <v>1279</v>
      </c>
      <c r="Z108" t="str">
        <f>IFERROR(VLOOKUP(ROWS($Z$3:Z108),$X$3:$Y$992,2,0),"")</f>
        <v>Opravy počítačů a výrobků pro osobní potřebu a převážně pro domácnost</v>
      </c>
    </row>
    <row r="109" spans="1:26" ht="12.75" customHeight="1">
      <c r="A109" s="301"/>
      <c r="B109" s="301"/>
      <c r="C109" s="301"/>
      <c r="D109" s="317">
        <f>IF(ISNUMBER(SEARCH(ZAKL_DATA!$B$14,E109)),MAX($D$2:D108)+1,0)</f>
        <v>107</v>
      </c>
      <c r="E109" s="330" t="s">
        <v>1281</v>
      </c>
      <c r="F109" s="331">
        <v>2705</v>
      </c>
      <c r="G109" s="332"/>
      <c r="H109" s="333" t="str">
        <f>IFERROR(VLOOKUP(ROWS($H$3:H109),$D$3:$E$204,2,0),"")</f>
        <v>HOŘICE</v>
      </c>
      <c r="I109" s="301"/>
      <c r="J109" s="335" t="s">
        <v>1282</v>
      </c>
      <c r="K109" s="323" t="s">
        <v>1283</v>
      </c>
      <c r="M109" s="324">
        <f>IF(ISNUMBER(SEARCH(ZAKL_DATA!$B$29,N109)),MAX($M$2:M108)+1,0)</f>
        <v>107</v>
      </c>
      <c r="N109" s="325" t="s">
        <v>1284</v>
      </c>
      <c r="O109" s="326" t="s">
        <v>1285</v>
      </c>
      <c r="Q109" s="327" t="str">
        <f>IFERROR(VLOOKUP(ROWS($Q$3:Q109),$M$3:$N$992,2,0),"")</f>
        <v>Poskytování ostatních osobních služeb</v>
      </c>
      <c r="R109">
        <f>IF(ISNUMBER(SEARCH('1Př1'!$A$32,N109)),MAX($M$2:M108)+1,0)</f>
        <v>107</v>
      </c>
      <c r="S109" s="325" t="s">
        <v>1284</v>
      </c>
      <c r="T109" t="str">
        <f>IFERROR(VLOOKUP(ROWS($T$3:T109),$R$3:$S$992,2,0),"")</f>
        <v>Poskytování ostatních osobních služeb</v>
      </c>
      <c r="U109">
        <f>IF(ISNUMBER(SEARCH('1Př1'!$A$33,N109)),MAX($M$2:M108)+1,0)</f>
        <v>107</v>
      </c>
      <c r="V109" s="325" t="s">
        <v>1284</v>
      </c>
      <c r="W109" t="str">
        <f>IFERROR(VLOOKUP(ROWS($W$3:W109),$U$3:$V$992,2,0),"")</f>
        <v>Poskytování ostatních osobních služeb</v>
      </c>
      <c r="X109">
        <f>IF(ISNUMBER(SEARCH('1Př1'!$A$34,N109)),MAX($M$2:M108)+1,0)</f>
        <v>107</v>
      </c>
      <c r="Y109" s="325" t="s">
        <v>1284</v>
      </c>
      <c r="Z109" t="str">
        <f>IFERROR(VLOOKUP(ROWS($Z$3:Z109),$X$3:$Y$992,2,0),"")</f>
        <v>Poskytování ostatních osobních služeb</v>
      </c>
    </row>
    <row r="110" spans="1:26" ht="12.75" customHeight="1">
      <c r="A110" s="301"/>
      <c r="B110" s="301"/>
      <c r="C110" s="301"/>
      <c r="D110" s="317">
        <f>IF(ISNUMBER(SEARCH(ZAKL_DATA!$B$14,E110)),MAX($D$2:D109)+1,0)</f>
        <v>108</v>
      </c>
      <c r="E110" s="330" t="s">
        <v>1286</v>
      </c>
      <c r="F110" s="331">
        <v>2706</v>
      </c>
      <c r="G110" s="332"/>
      <c r="H110" s="333" t="str">
        <f>IFERROR(VLOOKUP(ROWS($H$3:H110),$D$3:$E$204,2,0),"")</f>
        <v>JAROMĚŘ</v>
      </c>
      <c r="I110" s="301"/>
      <c r="J110" s="335" t="s">
        <v>1287</v>
      </c>
      <c r="K110" s="323" t="s">
        <v>1288</v>
      </c>
      <c r="M110" s="324">
        <f>IF(ISNUMBER(SEARCH(ZAKL_DATA!$B$29,N110)),MAX($M$2:M109)+1,0)</f>
        <v>108</v>
      </c>
      <c r="N110" s="325" t="s">
        <v>1289</v>
      </c>
      <c r="O110" s="326" t="s">
        <v>1290</v>
      </c>
      <c r="Q110" s="327" t="str">
        <f>IFERROR(VLOOKUP(ROWS($Q$3:Q110),$M$3:$N$992,2,0),"")</f>
        <v>Činnosti domácností jako zaměstnavatelů domácího personálu</v>
      </c>
      <c r="R110">
        <f>IF(ISNUMBER(SEARCH('1Př1'!$A$32,N110)),MAX($M$2:M109)+1,0)</f>
        <v>108</v>
      </c>
      <c r="S110" s="325" t="s">
        <v>1289</v>
      </c>
      <c r="T110" t="str">
        <f>IFERROR(VLOOKUP(ROWS($T$3:T110),$R$3:$S$992,2,0),"")</f>
        <v>Činnosti domácností jako zaměstnavatelů domácího personálu</v>
      </c>
      <c r="U110">
        <f>IF(ISNUMBER(SEARCH('1Př1'!$A$33,N110)),MAX($M$2:M109)+1,0)</f>
        <v>108</v>
      </c>
      <c r="V110" s="325" t="s">
        <v>1289</v>
      </c>
      <c r="W110" t="str">
        <f>IFERROR(VLOOKUP(ROWS($W$3:W110),$U$3:$V$992,2,0),"")</f>
        <v>Činnosti domácností jako zaměstnavatelů domácího personálu</v>
      </c>
      <c r="X110">
        <f>IF(ISNUMBER(SEARCH('1Př1'!$A$34,N110)),MAX($M$2:M109)+1,0)</f>
        <v>108</v>
      </c>
      <c r="Y110" s="325" t="s">
        <v>1289</v>
      </c>
      <c r="Z110" t="str">
        <f>IFERROR(VLOOKUP(ROWS($Z$3:Z110),$X$3:$Y$992,2,0),"")</f>
        <v>Činnosti domácností jako zaměstnavatelů domácího personálu</v>
      </c>
    </row>
    <row r="111" spans="1:26" ht="12.75" customHeight="1">
      <c r="A111" s="301"/>
      <c r="B111" s="301"/>
      <c r="C111" s="301"/>
      <c r="D111" s="317">
        <f>IF(ISNUMBER(SEARCH(ZAKL_DATA!$B$14,E111)),MAX($D$2:D110)+1,0)</f>
        <v>109</v>
      </c>
      <c r="E111" s="330" t="s">
        <v>1291</v>
      </c>
      <c r="F111" s="331">
        <v>2707</v>
      </c>
      <c r="G111" s="332"/>
      <c r="H111" s="333" t="str">
        <f>IFERROR(VLOOKUP(ROWS($H$3:H111),$D$3:$E$204,2,0),"")</f>
        <v>JIČÍN</v>
      </c>
      <c r="I111" s="301"/>
      <c r="J111" s="335" t="s">
        <v>1292</v>
      </c>
      <c r="K111" s="323" t="s">
        <v>1293</v>
      </c>
      <c r="M111" s="324">
        <f>IF(ISNUMBER(SEARCH(ZAKL_DATA!$B$29,N111)),MAX($M$2:M110)+1,0)</f>
        <v>109</v>
      </c>
      <c r="N111" s="325" t="s">
        <v>1294</v>
      </c>
      <c r="O111" s="326" t="s">
        <v>1295</v>
      </c>
      <c r="Q111" s="327" t="str">
        <f>IFERROR(VLOOKUP(ROWS($Q$3:Q111),$M$3:$N$992,2,0),"")</f>
        <v>Činnosti domác.produk.blíže neurčené výrobky a služby pro vlast.potřebu</v>
      </c>
      <c r="R111">
        <f>IF(ISNUMBER(SEARCH('1Př1'!$A$32,N111)),MAX($M$2:M110)+1,0)</f>
        <v>109</v>
      </c>
      <c r="S111" s="325" t="s">
        <v>1294</v>
      </c>
      <c r="T111" t="str">
        <f>IFERROR(VLOOKUP(ROWS($T$3:T111),$R$3:$S$992,2,0),"")</f>
        <v>Činnosti domác.produk.blíže neurčené výrobky a služby pro vlast.potřebu</v>
      </c>
      <c r="U111">
        <f>IF(ISNUMBER(SEARCH('1Př1'!$A$33,N111)),MAX($M$2:M110)+1,0)</f>
        <v>109</v>
      </c>
      <c r="V111" s="325" t="s">
        <v>1294</v>
      </c>
      <c r="W111" t="str">
        <f>IFERROR(VLOOKUP(ROWS($W$3:W111),$U$3:$V$992,2,0),"")</f>
        <v>Činnosti domác.produk.blíže neurčené výrobky a služby pro vlast.potřebu</v>
      </c>
      <c r="X111">
        <f>IF(ISNUMBER(SEARCH('1Př1'!$A$34,N111)),MAX($M$2:M110)+1,0)</f>
        <v>109</v>
      </c>
      <c r="Y111" s="325" t="s">
        <v>1294</v>
      </c>
      <c r="Z111" t="str">
        <f>IFERROR(VLOOKUP(ROWS($Z$3:Z111),$X$3:$Y$992,2,0),"")</f>
        <v>Činnosti domác.produk.blíže neurčené výrobky a služby pro vlast.potřebu</v>
      </c>
    </row>
    <row r="112" spans="1:26" ht="12.75" customHeight="1">
      <c r="A112" s="301"/>
      <c r="B112" s="301"/>
      <c r="C112" s="301"/>
      <c r="D112" s="317">
        <f>IF(ISNUMBER(SEARCH(ZAKL_DATA!$B$14,E112)),MAX($D$2:D111)+1,0)</f>
        <v>110</v>
      </c>
      <c r="E112" s="330" t="s">
        <v>1296</v>
      </c>
      <c r="F112" s="331">
        <v>2708</v>
      </c>
      <c r="G112" s="332"/>
      <c r="H112" s="333" t="str">
        <f>IFERROR(VLOOKUP(ROWS($H$3:H112),$D$3:$E$204,2,0),"")</f>
        <v>KOSTELEC NAD ORLICÍ</v>
      </c>
      <c r="I112" s="301"/>
      <c r="J112" s="335" t="s">
        <v>1297</v>
      </c>
      <c r="K112" s="323" t="s">
        <v>1298</v>
      </c>
      <c r="M112" s="324">
        <f>IF(ISNUMBER(SEARCH(ZAKL_DATA!$B$29,N112)),MAX($M$2:M111)+1,0)</f>
        <v>110</v>
      </c>
      <c r="N112" s="325" t="s">
        <v>1299</v>
      </c>
      <c r="O112" s="326" t="s">
        <v>1300</v>
      </c>
      <c r="Q112" s="327" t="str">
        <f>IFERROR(VLOOKUP(ROWS($Q$3:Q112),$M$3:$N$992,2,0),"")</f>
        <v>Činnosti exteritoriálních organizací a orgánů</v>
      </c>
      <c r="R112">
        <f>IF(ISNUMBER(SEARCH('1Př1'!$A$32,N112)),MAX($M$2:M111)+1,0)</f>
        <v>110</v>
      </c>
      <c r="S112" s="325" t="s">
        <v>1299</v>
      </c>
      <c r="T112" t="str">
        <f>IFERROR(VLOOKUP(ROWS($T$3:T112),$R$3:$S$992,2,0),"")</f>
        <v>Činnosti exteritoriálních organizací a orgánů</v>
      </c>
      <c r="U112">
        <f>IF(ISNUMBER(SEARCH('1Př1'!$A$33,N112)),MAX($M$2:M111)+1,0)</f>
        <v>110</v>
      </c>
      <c r="V112" s="325" t="s">
        <v>1299</v>
      </c>
      <c r="W112" t="str">
        <f>IFERROR(VLOOKUP(ROWS($W$3:W112),$U$3:$V$992,2,0),"")</f>
        <v>Činnosti exteritoriálních organizací a orgánů</v>
      </c>
      <c r="X112">
        <f>IF(ISNUMBER(SEARCH('1Př1'!$A$34,N112)),MAX($M$2:M111)+1,0)</f>
        <v>110</v>
      </c>
      <c r="Y112" s="325" t="s">
        <v>1299</v>
      </c>
      <c r="Z112" t="str">
        <f>IFERROR(VLOOKUP(ROWS($Z$3:Z112),$X$3:$Y$992,2,0),"")</f>
        <v>Činnosti exteritoriálních organizací a orgánů</v>
      </c>
    </row>
    <row r="113" spans="1:26" ht="12.75" customHeight="1">
      <c r="A113" s="301"/>
      <c r="B113" s="301"/>
      <c r="C113" s="301"/>
      <c r="D113" s="317">
        <f>IF(ISNUMBER(SEARCH(ZAKL_DATA!$B$14,E113)),MAX($D$2:D112)+1,0)</f>
        <v>111</v>
      </c>
      <c r="E113" s="330" t="s">
        <v>1301</v>
      </c>
      <c r="F113" s="331">
        <v>2709</v>
      </c>
      <c r="G113" s="332"/>
      <c r="H113" s="333" t="str">
        <f>IFERROR(VLOOKUP(ROWS($H$3:H113),$D$3:$E$204,2,0),"")</f>
        <v>NÁCHOD</v>
      </c>
      <c r="I113" s="301"/>
      <c r="J113" s="335" t="s">
        <v>1302</v>
      </c>
      <c r="K113" s="323" t="s">
        <v>1303</v>
      </c>
      <c r="M113" s="324">
        <f>IF(ISNUMBER(SEARCH(ZAKL_DATA!$B$29,N113)),MAX($M$2:M112)+1,0)</f>
        <v>111</v>
      </c>
      <c r="N113" s="325" t="s">
        <v>1304</v>
      </c>
      <c r="O113" s="326" t="s">
        <v>1305</v>
      </c>
      <c r="Q113" s="327" t="str">
        <f>IFERROR(VLOOKUP(ROWS($Q$3:Q113),$M$3:$N$992,2,0),"")</f>
        <v>Podpůrné činnosti při ostatní těžbě a dobývání</v>
      </c>
      <c r="R113">
        <f>IF(ISNUMBER(SEARCH('1Př1'!$A$32,N113)),MAX($M$2:M112)+1,0)</f>
        <v>111</v>
      </c>
      <c r="S113" s="325" t="s">
        <v>1304</v>
      </c>
      <c r="T113" t="str">
        <f>IFERROR(VLOOKUP(ROWS($T$3:T113),$R$3:$S$992,2,0),"")</f>
        <v>Podpůrné činnosti při ostatní těžbě a dobývání</v>
      </c>
      <c r="U113">
        <f>IF(ISNUMBER(SEARCH('1Př1'!$A$33,N113)),MAX($M$2:M112)+1,0)</f>
        <v>111</v>
      </c>
      <c r="V113" s="325" t="s">
        <v>1304</v>
      </c>
      <c r="W113" t="str">
        <f>IFERROR(VLOOKUP(ROWS($W$3:W113),$U$3:$V$992,2,0),"")</f>
        <v>Podpůrné činnosti při ostatní těžbě a dobývání</v>
      </c>
      <c r="X113">
        <f>IF(ISNUMBER(SEARCH('1Př1'!$A$34,N113)),MAX($M$2:M112)+1,0)</f>
        <v>111</v>
      </c>
      <c r="Y113" s="325" t="s">
        <v>1304</v>
      </c>
      <c r="Z113" t="str">
        <f>IFERROR(VLOOKUP(ROWS($Z$3:Z113),$X$3:$Y$992,2,0),"")</f>
        <v>Podpůrné činnosti při ostatní těžbě a dobývání</v>
      </c>
    </row>
    <row r="114" spans="1:26" ht="12.75" customHeight="1">
      <c r="A114" s="301"/>
      <c r="B114" s="301"/>
      <c r="C114" s="301"/>
      <c r="D114" s="317">
        <f>IF(ISNUMBER(SEARCH(ZAKL_DATA!$B$14,E114)),MAX($D$2:D113)+1,0)</f>
        <v>112</v>
      </c>
      <c r="E114" s="330" t="s">
        <v>1306</v>
      </c>
      <c r="F114" s="331">
        <v>2710</v>
      </c>
      <c r="G114" s="332"/>
      <c r="H114" s="333" t="str">
        <f>IFERROR(VLOOKUP(ROWS($H$3:H114),$D$3:$E$204,2,0),"")</f>
        <v>NOVÁ PAKA</v>
      </c>
      <c r="I114" s="301"/>
      <c r="J114" s="335" t="s">
        <v>1307</v>
      </c>
      <c r="K114" s="323" t="s">
        <v>1308</v>
      </c>
      <c r="M114" s="324">
        <f>IF(ISNUMBER(SEARCH(ZAKL_DATA!$B$29,N114)),MAX($M$2:M113)+1,0)</f>
        <v>112</v>
      </c>
      <c r="N114" s="325" t="s">
        <v>1309</v>
      </c>
      <c r="O114" s="326" t="s">
        <v>1310</v>
      </c>
      <c r="Q114" s="327" t="str">
        <f>IFERROR(VLOOKUP(ROWS($Q$3:Q114),$M$3:$N$992,2,0),"")</f>
        <v>Zpracování a konzervování masa a výroba masných výrobků</v>
      </c>
      <c r="R114">
        <f>IF(ISNUMBER(SEARCH('1Př1'!$A$32,N114)),MAX($M$2:M113)+1,0)</f>
        <v>112</v>
      </c>
      <c r="S114" s="325" t="s">
        <v>1309</v>
      </c>
      <c r="T114" t="str">
        <f>IFERROR(VLOOKUP(ROWS($T$3:T114),$R$3:$S$992,2,0),"")</f>
        <v>Zpracování a konzervování masa a výroba masných výrobků</v>
      </c>
      <c r="U114">
        <f>IF(ISNUMBER(SEARCH('1Př1'!$A$33,N114)),MAX($M$2:M113)+1,0)</f>
        <v>112</v>
      </c>
      <c r="V114" s="325" t="s">
        <v>1309</v>
      </c>
      <c r="W114" t="str">
        <f>IFERROR(VLOOKUP(ROWS($W$3:W114),$U$3:$V$992,2,0),"")</f>
        <v>Zpracování a konzervování masa a výroba masných výrobků</v>
      </c>
      <c r="X114">
        <f>IF(ISNUMBER(SEARCH('1Př1'!$A$34,N114)),MAX($M$2:M113)+1,0)</f>
        <v>112</v>
      </c>
      <c r="Y114" s="325" t="s">
        <v>1309</v>
      </c>
      <c r="Z114" t="str">
        <f>IFERROR(VLOOKUP(ROWS($Z$3:Z114),$X$3:$Y$992,2,0),"")</f>
        <v>Zpracování a konzervování masa a výroba masných výrobků</v>
      </c>
    </row>
    <row r="115" spans="1:26" ht="12.75" customHeight="1">
      <c r="A115" s="301"/>
      <c r="B115" s="301"/>
      <c r="C115" s="301"/>
      <c r="D115" s="317">
        <f>IF(ISNUMBER(SEARCH(ZAKL_DATA!$B$14,E115)),MAX($D$2:D114)+1,0)</f>
        <v>113</v>
      </c>
      <c r="E115" s="330" t="s">
        <v>1311</v>
      </c>
      <c r="F115" s="331">
        <v>2711</v>
      </c>
      <c r="G115" s="332"/>
      <c r="H115" s="333" t="str">
        <f>IFERROR(VLOOKUP(ROWS($H$3:H115),$D$3:$E$204,2,0),"")</f>
        <v>NOVÝ BYDŽOV</v>
      </c>
      <c r="I115" s="301"/>
      <c r="J115" s="335" t="s">
        <v>1312</v>
      </c>
      <c r="K115" s="323" t="s">
        <v>1313</v>
      </c>
      <c r="M115" s="324">
        <f>IF(ISNUMBER(SEARCH(ZAKL_DATA!$B$29,N115)),MAX($M$2:M114)+1,0)</f>
        <v>113</v>
      </c>
      <c r="N115" s="325" t="s">
        <v>1314</v>
      </c>
      <c r="O115" s="326" t="s">
        <v>1315</v>
      </c>
      <c r="Q115" s="327" t="str">
        <f>IFERROR(VLOOKUP(ROWS($Q$3:Q115),$M$3:$N$992,2,0),"")</f>
        <v>Zpracování a konzervování ryb, korýšů a měkkýšů</v>
      </c>
      <c r="R115">
        <f>IF(ISNUMBER(SEARCH('1Př1'!$A$32,N115)),MAX($M$2:M114)+1,0)</f>
        <v>113</v>
      </c>
      <c r="S115" s="325" t="s">
        <v>1314</v>
      </c>
      <c r="T115" t="str">
        <f>IFERROR(VLOOKUP(ROWS($T$3:T115),$R$3:$S$992,2,0),"")</f>
        <v>Zpracování a konzervování ryb, korýšů a měkkýšů</v>
      </c>
      <c r="U115">
        <f>IF(ISNUMBER(SEARCH('1Př1'!$A$33,N115)),MAX($M$2:M114)+1,0)</f>
        <v>113</v>
      </c>
      <c r="V115" s="325" t="s">
        <v>1314</v>
      </c>
      <c r="W115" t="str">
        <f>IFERROR(VLOOKUP(ROWS($W$3:W115),$U$3:$V$992,2,0),"")</f>
        <v>Zpracování a konzervování ryb, korýšů a měkkýšů</v>
      </c>
      <c r="X115">
        <f>IF(ISNUMBER(SEARCH('1Př1'!$A$34,N115)),MAX($M$2:M114)+1,0)</f>
        <v>113</v>
      </c>
      <c r="Y115" s="325" t="s">
        <v>1314</v>
      </c>
      <c r="Z115" t="str">
        <f>IFERROR(VLOOKUP(ROWS($Z$3:Z115),$X$3:$Y$992,2,0),"")</f>
        <v>Zpracování a konzervování ryb, korýšů a měkkýšů</v>
      </c>
    </row>
    <row r="116" spans="1:26" ht="12.75" customHeight="1">
      <c r="A116" s="301"/>
      <c r="B116" s="301"/>
      <c r="C116" s="301"/>
      <c r="D116" s="317">
        <f>IF(ISNUMBER(SEARCH(ZAKL_DATA!$B$14,E116)),MAX($D$2:D115)+1,0)</f>
        <v>114</v>
      </c>
      <c r="E116" s="330" t="s">
        <v>1316</v>
      </c>
      <c r="F116" s="331">
        <v>2712</v>
      </c>
      <c r="G116" s="332"/>
      <c r="H116" s="333" t="str">
        <f>IFERROR(VLOOKUP(ROWS($H$3:H116),$D$3:$E$204,2,0),"")</f>
        <v>RYCHNOV NAD KNĚŽ.</v>
      </c>
      <c r="I116" s="301"/>
      <c r="J116" s="335" t="s">
        <v>1317</v>
      </c>
      <c r="K116" s="323" t="s">
        <v>1318</v>
      </c>
      <c r="M116" s="324">
        <f>IF(ISNUMBER(SEARCH(ZAKL_DATA!$B$29,N116)),MAX($M$2:M115)+1,0)</f>
        <v>114</v>
      </c>
      <c r="N116" s="325" t="s">
        <v>1319</v>
      </c>
      <c r="O116" s="326" t="s">
        <v>1320</v>
      </c>
      <c r="Q116" s="327" t="str">
        <f>IFERROR(VLOOKUP(ROWS($Q$3:Q116),$M$3:$N$992,2,0),"")</f>
        <v>Zpracování a konzervování ovoce a zeleniny</v>
      </c>
      <c r="R116">
        <f>IF(ISNUMBER(SEARCH('1Př1'!$A$32,N116)),MAX($M$2:M115)+1,0)</f>
        <v>114</v>
      </c>
      <c r="S116" s="325" t="s">
        <v>1319</v>
      </c>
      <c r="T116" t="str">
        <f>IFERROR(VLOOKUP(ROWS($T$3:T116),$R$3:$S$992,2,0),"")</f>
        <v>Zpracování a konzervování ovoce a zeleniny</v>
      </c>
      <c r="U116">
        <f>IF(ISNUMBER(SEARCH('1Př1'!$A$33,N116)),MAX($M$2:M115)+1,0)</f>
        <v>114</v>
      </c>
      <c r="V116" s="325" t="s">
        <v>1319</v>
      </c>
      <c r="W116" t="str">
        <f>IFERROR(VLOOKUP(ROWS($W$3:W116),$U$3:$V$992,2,0),"")</f>
        <v>Zpracování a konzervování ovoce a zeleniny</v>
      </c>
      <c r="X116">
        <f>IF(ISNUMBER(SEARCH('1Př1'!$A$34,N116)),MAX($M$2:M115)+1,0)</f>
        <v>114</v>
      </c>
      <c r="Y116" s="325" t="s">
        <v>1319</v>
      </c>
      <c r="Z116" t="str">
        <f>IFERROR(VLOOKUP(ROWS($Z$3:Z116),$X$3:$Y$992,2,0),"")</f>
        <v>Zpracování a konzervování ovoce a zeleniny</v>
      </c>
    </row>
    <row r="117" spans="1:26" ht="12.75" customHeight="1">
      <c r="A117" s="301"/>
      <c r="B117" s="301"/>
      <c r="C117" s="301"/>
      <c r="D117" s="317">
        <f>IF(ISNUMBER(SEARCH(ZAKL_DATA!$B$14,E117)),MAX($D$2:D116)+1,0)</f>
        <v>115</v>
      </c>
      <c r="E117" s="330" t="s">
        <v>1321</v>
      </c>
      <c r="F117" s="331">
        <v>2713</v>
      </c>
      <c r="G117" s="332"/>
      <c r="H117" s="333" t="str">
        <f>IFERROR(VLOOKUP(ROWS($H$3:H117),$D$3:$E$204,2,0),"")</f>
        <v>TRUTNOV</v>
      </c>
      <c r="I117" s="301"/>
      <c r="J117" s="335" t="s">
        <v>1322</v>
      </c>
      <c r="K117" s="323" t="s">
        <v>1323</v>
      </c>
      <c r="M117" s="324">
        <f>IF(ISNUMBER(SEARCH(ZAKL_DATA!$B$29,N117)),MAX($M$2:M116)+1,0)</f>
        <v>115</v>
      </c>
      <c r="N117" s="325" t="s">
        <v>1324</v>
      </c>
      <c r="O117" s="326" t="s">
        <v>1325</v>
      </c>
      <c r="Q117" s="327" t="str">
        <f>IFERROR(VLOOKUP(ROWS($Q$3:Q117),$M$3:$N$992,2,0),"")</f>
        <v>Výroba rostlinných a živočišných olejů a tuků</v>
      </c>
      <c r="R117">
        <f>IF(ISNUMBER(SEARCH('1Př1'!$A$32,N117)),MAX($M$2:M116)+1,0)</f>
        <v>115</v>
      </c>
      <c r="S117" s="325" t="s">
        <v>1324</v>
      </c>
      <c r="T117" t="str">
        <f>IFERROR(VLOOKUP(ROWS($T$3:T117),$R$3:$S$992,2,0),"")</f>
        <v>Výroba rostlinných a živočišných olejů a tuků</v>
      </c>
      <c r="U117">
        <f>IF(ISNUMBER(SEARCH('1Př1'!$A$33,N117)),MAX($M$2:M116)+1,0)</f>
        <v>115</v>
      </c>
      <c r="V117" s="325" t="s">
        <v>1324</v>
      </c>
      <c r="W117" t="str">
        <f>IFERROR(VLOOKUP(ROWS($W$3:W117),$U$3:$V$992,2,0),"")</f>
        <v>Výroba rostlinných a živočišných olejů a tuků</v>
      </c>
      <c r="X117">
        <f>IF(ISNUMBER(SEARCH('1Př1'!$A$34,N117)),MAX($M$2:M116)+1,0)</f>
        <v>115</v>
      </c>
      <c r="Y117" s="325" t="s">
        <v>1324</v>
      </c>
      <c r="Z117" t="str">
        <f>IFERROR(VLOOKUP(ROWS($Z$3:Z117),$X$3:$Y$992,2,0),"")</f>
        <v>Výroba rostlinných a živočišných olejů a tuků</v>
      </c>
    </row>
    <row r="118" spans="1:26" ht="12.75" customHeight="1">
      <c r="A118" s="301"/>
      <c r="B118" s="301"/>
      <c r="C118" s="301"/>
      <c r="D118" s="317">
        <f>IF(ISNUMBER(SEARCH(ZAKL_DATA!$B$14,E118)),MAX($D$2:D117)+1,0)</f>
        <v>116</v>
      </c>
      <c r="E118" s="330" t="s">
        <v>1326</v>
      </c>
      <c r="F118" s="331">
        <v>2714</v>
      </c>
      <c r="G118" s="332"/>
      <c r="H118" s="333" t="str">
        <f>IFERROR(VLOOKUP(ROWS($H$3:H118),$D$3:$E$204,2,0),"")</f>
        <v>VRCHLABÍ</v>
      </c>
      <c r="I118" s="301"/>
      <c r="J118" s="335" t="s">
        <v>1327</v>
      </c>
      <c r="K118" s="323" t="s">
        <v>1328</v>
      </c>
      <c r="M118" s="324">
        <f>IF(ISNUMBER(SEARCH(ZAKL_DATA!$B$29,N118)),MAX($M$2:M117)+1,0)</f>
        <v>116</v>
      </c>
      <c r="N118" s="325" t="s">
        <v>1329</v>
      </c>
      <c r="O118" s="326" t="s">
        <v>1330</v>
      </c>
      <c r="Q118" s="327" t="str">
        <f>IFERROR(VLOOKUP(ROWS($Q$3:Q118),$M$3:$N$992,2,0),"")</f>
        <v>Výroba mléčných výrobků</v>
      </c>
      <c r="R118">
        <f>IF(ISNUMBER(SEARCH('1Př1'!$A$32,N118)),MAX($M$2:M117)+1,0)</f>
        <v>116</v>
      </c>
      <c r="S118" s="325" t="s">
        <v>1329</v>
      </c>
      <c r="T118" t="str">
        <f>IFERROR(VLOOKUP(ROWS($T$3:T118),$R$3:$S$992,2,0),"")</f>
        <v>Výroba mléčných výrobků</v>
      </c>
      <c r="U118">
        <f>IF(ISNUMBER(SEARCH('1Př1'!$A$33,N118)),MAX($M$2:M117)+1,0)</f>
        <v>116</v>
      </c>
      <c r="V118" s="325" t="s">
        <v>1329</v>
      </c>
      <c r="W118" t="str">
        <f>IFERROR(VLOOKUP(ROWS($W$3:W118),$U$3:$V$992,2,0),"")</f>
        <v>Výroba mléčných výrobků</v>
      </c>
      <c r="X118">
        <f>IF(ISNUMBER(SEARCH('1Př1'!$A$34,N118)),MAX($M$2:M117)+1,0)</f>
        <v>116</v>
      </c>
      <c r="Y118" s="325" t="s">
        <v>1329</v>
      </c>
      <c r="Z118" t="str">
        <f>IFERROR(VLOOKUP(ROWS($Z$3:Z118),$X$3:$Y$992,2,0),"")</f>
        <v>Výroba mléčných výrobků</v>
      </c>
    </row>
    <row r="119" spans="1:26" ht="12.75" customHeight="1">
      <c r="A119" s="301"/>
      <c r="B119" s="301"/>
      <c r="C119" s="301"/>
      <c r="D119" s="317">
        <f>IF(ISNUMBER(SEARCH(ZAKL_DATA!$B$14,E119)),MAX($D$2:D118)+1,0)</f>
        <v>117</v>
      </c>
      <c r="E119" s="330" t="s">
        <v>1331</v>
      </c>
      <c r="F119" s="331">
        <v>2801</v>
      </c>
      <c r="G119" s="332"/>
      <c r="H119" s="333" t="str">
        <f>IFERROR(VLOOKUP(ROWS($H$3:H119),$D$3:$E$204,2,0),"")</f>
        <v>PARDUBICE</v>
      </c>
      <c r="I119" s="301"/>
      <c r="J119" s="335" t="s">
        <v>1332</v>
      </c>
      <c r="K119" s="323" t="s">
        <v>1333</v>
      </c>
      <c r="M119" s="324">
        <f>IF(ISNUMBER(SEARCH(ZAKL_DATA!$B$29,N119)),MAX($M$2:M118)+1,0)</f>
        <v>117</v>
      </c>
      <c r="N119" s="325" t="s">
        <v>1334</v>
      </c>
      <c r="O119" s="326" t="s">
        <v>1335</v>
      </c>
      <c r="Q119" s="327" t="str">
        <f>IFERROR(VLOOKUP(ROWS($Q$3:Q119),$M$3:$N$992,2,0),"")</f>
        <v>Výroba mlýnských a škrobárenských výrobků</v>
      </c>
      <c r="R119">
        <f>IF(ISNUMBER(SEARCH('1Př1'!$A$32,N119)),MAX($M$2:M118)+1,0)</f>
        <v>117</v>
      </c>
      <c r="S119" s="325" t="s">
        <v>1334</v>
      </c>
      <c r="T119" t="str">
        <f>IFERROR(VLOOKUP(ROWS($T$3:T119),$R$3:$S$992,2,0),"")</f>
        <v>Výroba mlýnských a škrobárenských výrobků</v>
      </c>
      <c r="U119">
        <f>IF(ISNUMBER(SEARCH('1Př1'!$A$33,N119)),MAX($M$2:M118)+1,0)</f>
        <v>117</v>
      </c>
      <c r="V119" s="325" t="s">
        <v>1334</v>
      </c>
      <c r="W119" t="str">
        <f>IFERROR(VLOOKUP(ROWS($W$3:W119),$U$3:$V$992,2,0),"")</f>
        <v>Výroba mlýnských a škrobárenských výrobků</v>
      </c>
      <c r="X119">
        <f>IF(ISNUMBER(SEARCH('1Př1'!$A$34,N119)),MAX($M$2:M118)+1,0)</f>
        <v>117</v>
      </c>
      <c r="Y119" s="325" t="s">
        <v>1334</v>
      </c>
      <c r="Z119" t="str">
        <f>IFERROR(VLOOKUP(ROWS($Z$3:Z119),$X$3:$Y$992,2,0),"")</f>
        <v>Výroba mlýnských a škrobárenských výrobků</v>
      </c>
    </row>
    <row r="120" spans="1:26" ht="12.75" customHeight="1">
      <c r="A120" s="301"/>
      <c r="B120" s="301"/>
      <c r="C120" s="301"/>
      <c r="D120" s="317">
        <f>IF(ISNUMBER(SEARCH(ZAKL_DATA!$B$14,E120)),MAX($D$2:D119)+1,0)</f>
        <v>118</v>
      </c>
      <c r="E120" s="330" t="s">
        <v>1336</v>
      </c>
      <c r="F120" s="331">
        <v>2802</v>
      </c>
      <c r="G120" s="332"/>
      <c r="H120" s="333" t="str">
        <f>IFERROR(VLOOKUP(ROWS($H$3:H120),$D$3:$E$204,2,0),"")</f>
        <v>HLINSKO</v>
      </c>
      <c r="I120" s="301"/>
      <c r="J120" s="335" t="s">
        <v>1337</v>
      </c>
      <c r="K120" s="323" t="s">
        <v>1338</v>
      </c>
      <c r="M120" s="324">
        <f>IF(ISNUMBER(SEARCH(ZAKL_DATA!$B$29,N120)),MAX($M$2:M119)+1,0)</f>
        <v>118</v>
      </c>
      <c r="N120" s="325" t="s">
        <v>1339</v>
      </c>
      <c r="O120" s="326" t="s">
        <v>1340</v>
      </c>
      <c r="Q120" s="327" t="str">
        <f>IFERROR(VLOOKUP(ROWS($Q$3:Q120),$M$3:$N$992,2,0),"")</f>
        <v>Výroba pekařských, cukrářských a jiných moučných výrobků</v>
      </c>
      <c r="R120">
        <f>IF(ISNUMBER(SEARCH('1Př1'!$A$32,N120)),MAX($M$2:M119)+1,0)</f>
        <v>118</v>
      </c>
      <c r="S120" s="325" t="s">
        <v>1339</v>
      </c>
      <c r="T120" t="str">
        <f>IFERROR(VLOOKUP(ROWS($T$3:T120),$R$3:$S$992,2,0),"")</f>
        <v>Výroba pekařských, cukrářských a jiných moučných výrobků</v>
      </c>
      <c r="U120">
        <f>IF(ISNUMBER(SEARCH('1Př1'!$A$33,N120)),MAX($M$2:M119)+1,0)</f>
        <v>118</v>
      </c>
      <c r="V120" s="325" t="s">
        <v>1339</v>
      </c>
      <c r="W120" t="str">
        <f>IFERROR(VLOOKUP(ROWS($W$3:W120),$U$3:$V$992,2,0),"")</f>
        <v>Výroba pekařských, cukrářských a jiných moučných výrobků</v>
      </c>
      <c r="X120">
        <f>IF(ISNUMBER(SEARCH('1Př1'!$A$34,N120)),MAX($M$2:M119)+1,0)</f>
        <v>118</v>
      </c>
      <c r="Y120" s="325" t="s">
        <v>1339</v>
      </c>
      <c r="Z120" t="str">
        <f>IFERROR(VLOOKUP(ROWS($Z$3:Z120),$X$3:$Y$992,2,0),"")</f>
        <v>Výroba pekařských, cukrářských a jiných moučných výrobků</v>
      </c>
    </row>
    <row r="121" spans="1:26" ht="12.75" customHeight="1">
      <c r="A121" s="301"/>
      <c r="B121" s="301"/>
      <c r="C121" s="301"/>
      <c r="D121" s="317">
        <f>IF(ISNUMBER(SEARCH(ZAKL_DATA!$B$14,E121)),MAX($D$2:D120)+1,0)</f>
        <v>119</v>
      </c>
      <c r="E121" s="330" t="s">
        <v>1341</v>
      </c>
      <c r="F121" s="331">
        <v>2803</v>
      </c>
      <c r="G121" s="332"/>
      <c r="H121" s="333" t="str">
        <f>IFERROR(VLOOKUP(ROWS($H$3:H121),$D$3:$E$204,2,0),"")</f>
        <v>HOLICE</v>
      </c>
      <c r="I121" s="301"/>
      <c r="J121" s="335" t="s">
        <v>1342</v>
      </c>
      <c r="K121" s="323" t="s">
        <v>1343</v>
      </c>
      <c r="M121" s="324">
        <f>IF(ISNUMBER(SEARCH(ZAKL_DATA!$B$29,N121)),MAX($M$2:M120)+1,0)</f>
        <v>119</v>
      </c>
      <c r="N121" s="325" t="s">
        <v>1344</v>
      </c>
      <c r="O121" s="326" t="s">
        <v>1345</v>
      </c>
      <c r="Q121" s="327" t="str">
        <f>IFERROR(VLOOKUP(ROWS($Q$3:Q121),$M$3:$N$992,2,0),"")</f>
        <v>Výroba ostatních potravinářských výrobků</v>
      </c>
      <c r="R121">
        <f>IF(ISNUMBER(SEARCH('1Př1'!$A$32,N121)),MAX($M$2:M120)+1,0)</f>
        <v>119</v>
      </c>
      <c r="S121" s="325" t="s">
        <v>1344</v>
      </c>
      <c r="T121" t="str">
        <f>IFERROR(VLOOKUP(ROWS($T$3:T121),$R$3:$S$992,2,0),"")</f>
        <v>Výroba ostatních potravinářských výrobků</v>
      </c>
      <c r="U121">
        <f>IF(ISNUMBER(SEARCH('1Př1'!$A$33,N121)),MAX($M$2:M120)+1,0)</f>
        <v>119</v>
      </c>
      <c r="V121" s="325" t="s">
        <v>1344</v>
      </c>
      <c r="W121" t="str">
        <f>IFERROR(VLOOKUP(ROWS($W$3:W121),$U$3:$V$992,2,0),"")</f>
        <v>Výroba ostatních potravinářských výrobků</v>
      </c>
      <c r="X121">
        <f>IF(ISNUMBER(SEARCH('1Př1'!$A$34,N121)),MAX($M$2:M120)+1,0)</f>
        <v>119</v>
      </c>
      <c r="Y121" s="325" t="s">
        <v>1344</v>
      </c>
      <c r="Z121" t="str">
        <f>IFERROR(VLOOKUP(ROWS($Z$3:Z121),$X$3:$Y$992,2,0),"")</f>
        <v>Výroba ostatních potravinářských výrobků</v>
      </c>
    </row>
    <row r="122" spans="1:26" ht="12.75" customHeight="1">
      <c r="A122" s="301"/>
      <c r="B122" s="301"/>
      <c r="C122" s="301"/>
      <c r="D122" s="317">
        <f>IF(ISNUMBER(SEARCH(ZAKL_DATA!$B$14,E122)),MAX($D$2:D121)+1,0)</f>
        <v>120</v>
      </c>
      <c r="E122" s="330" t="s">
        <v>1346</v>
      </c>
      <c r="F122" s="331">
        <v>2804</v>
      </c>
      <c r="G122" s="332"/>
      <c r="H122" s="333" t="str">
        <f>IFERROR(VLOOKUP(ROWS($H$3:H122),$D$3:$E$204,2,0),"")</f>
        <v>CHRUDIM</v>
      </c>
      <c r="I122" s="301"/>
      <c r="J122" s="335" t="s">
        <v>1347</v>
      </c>
      <c r="K122" s="323" t="s">
        <v>1348</v>
      </c>
      <c r="M122" s="324">
        <f>IF(ISNUMBER(SEARCH(ZAKL_DATA!$B$29,N122)),MAX($M$2:M121)+1,0)</f>
        <v>120</v>
      </c>
      <c r="N122" s="325" t="s">
        <v>1349</v>
      </c>
      <c r="O122" s="326" t="s">
        <v>1350</v>
      </c>
      <c r="Q122" s="327" t="str">
        <f>IFERROR(VLOOKUP(ROWS($Q$3:Q122),$M$3:$N$992,2,0),"")</f>
        <v>Výroba průmyslových krmiv</v>
      </c>
      <c r="R122">
        <f>IF(ISNUMBER(SEARCH('1Př1'!$A$32,N122)),MAX($M$2:M121)+1,0)</f>
        <v>120</v>
      </c>
      <c r="S122" s="325" t="s">
        <v>1349</v>
      </c>
      <c r="T122" t="str">
        <f>IFERROR(VLOOKUP(ROWS($T$3:T122),$R$3:$S$992,2,0),"")</f>
        <v>Výroba průmyslových krmiv</v>
      </c>
      <c r="U122">
        <f>IF(ISNUMBER(SEARCH('1Př1'!$A$33,N122)),MAX($M$2:M121)+1,0)</f>
        <v>120</v>
      </c>
      <c r="V122" s="325" t="s">
        <v>1349</v>
      </c>
      <c r="W122" t="str">
        <f>IFERROR(VLOOKUP(ROWS($W$3:W122),$U$3:$V$992,2,0),"")</f>
        <v>Výroba průmyslových krmiv</v>
      </c>
      <c r="X122">
        <f>IF(ISNUMBER(SEARCH('1Př1'!$A$34,N122)),MAX($M$2:M121)+1,0)</f>
        <v>120</v>
      </c>
      <c r="Y122" s="325" t="s">
        <v>1349</v>
      </c>
      <c r="Z122" t="str">
        <f>IFERROR(VLOOKUP(ROWS($Z$3:Z122),$X$3:$Y$992,2,0),"")</f>
        <v>Výroba průmyslových krmiv</v>
      </c>
    </row>
    <row r="123" spans="1:26" ht="12.75" customHeight="1">
      <c r="A123" s="301"/>
      <c r="B123" s="301"/>
      <c r="C123" s="301"/>
      <c r="D123" s="317">
        <f>IF(ISNUMBER(SEARCH(ZAKL_DATA!$B$14,E123)),MAX($D$2:D122)+1,0)</f>
        <v>121</v>
      </c>
      <c r="E123" s="330" t="s">
        <v>1351</v>
      </c>
      <c r="F123" s="331">
        <v>2805</v>
      </c>
      <c r="G123" s="332"/>
      <c r="H123" s="333" t="str">
        <f>IFERROR(VLOOKUP(ROWS($H$3:H123),$D$3:$E$204,2,0),"")</f>
        <v>LITOMYŠL</v>
      </c>
      <c r="I123" s="301"/>
      <c r="J123" s="335" t="s">
        <v>1352</v>
      </c>
      <c r="K123" s="323" t="s">
        <v>1353</v>
      </c>
      <c r="M123" s="324">
        <f>IF(ISNUMBER(SEARCH(ZAKL_DATA!$B$29,N123)),MAX($M$2:M122)+1,0)</f>
        <v>121</v>
      </c>
      <c r="N123" s="325" t="s">
        <v>1354</v>
      </c>
      <c r="O123" s="340" t="s">
        <v>1355</v>
      </c>
      <c r="Q123" s="327" t="str">
        <f>IFERROR(VLOOKUP(ROWS($Q$3:Q123),$M$3:$N$992,2,0),"")</f>
        <v>Pěstování obilovin (kromě rýže), luštěnin a olejnatých semen</v>
      </c>
      <c r="R123">
        <f>IF(ISNUMBER(SEARCH('1Př1'!$A$32,N123)),MAX($M$2:M122)+1,0)</f>
        <v>121</v>
      </c>
      <c r="S123" s="325" t="s">
        <v>1354</v>
      </c>
      <c r="T123" t="str">
        <f>IFERROR(VLOOKUP(ROWS($T$3:T123),$R$3:$S$992,2,0),"")</f>
        <v>Pěstování obilovin (kromě rýže), luštěnin a olejnatých semen</v>
      </c>
      <c r="U123">
        <f>IF(ISNUMBER(SEARCH('1Př1'!$A$33,N123)),MAX($M$2:M122)+1,0)</f>
        <v>121</v>
      </c>
      <c r="V123" s="325" t="s">
        <v>1354</v>
      </c>
      <c r="W123" t="str">
        <f>IFERROR(VLOOKUP(ROWS($W$3:W123),$U$3:$V$992,2,0),"")</f>
        <v>Pěstování obilovin (kromě rýže), luštěnin a olejnatých semen</v>
      </c>
      <c r="X123">
        <f>IF(ISNUMBER(SEARCH('1Př1'!$A$34,N123)),MAX($M$2:M122)+1,0)</f>
        <v>121</v>
      </c>
      <c r="Y123" s="325" t="s">
        <v>1354</v>
      </c>
      <c r="Z123" t="str">
        <f>IFERROR(VLOOKUP(ROWS($Z$3:Z123),$X$3:$Y$992,2,0),"")</f>
        <v>Pěstování obilovin (kromě rýže), luštěnin a olejnatých semen</v>
      </c>
    </row>
    <row r="124" spans="1:26" ht="12.75" customHeight="1">
      <c r="A124" s="301"/>
      <c r="B124" s="301"/>
      <c r="C124" s="301"/>
      <c r="D124" s="317">
        <f>IF(ISNUMBER(SEARCH(ZAKL_DATA!$B$14,E124)),MAX($D$2:D123)+1,0)</f>
        <v>122</v>
      </c>
      <c r="E124" s="330" t="s">
        <v>1356</v>
      </c>
      <c r="F124" s="331">
        <v>2806</v>
      </c>
      <c r="G124" s="332"/>
      <c r="H124" s="333" t="str">
        <f>IFERROR(VLOOKUP(ROWS($H$3:H124),$D$3:$E$204,2,0),"")</f>
        <v>MORAVSKÁ TŘEBOVÁ</v>
      </c>
      <c r="I124" s="301"/>
      <c r="J124" s="341" t="s">
        <v>1357</v>
      </c>
      <c r="K124" s="342" t="s">
        <v>1358</v>
      </c>
      <c r="M124" s="324">
        <f>IF(ISNUMBER(SEARCH(ZAKL_DATA!$B$29,N124)),MAX($M$2:M123)+1,0)</f>
        <v>122</v>
      </c>
      <c r="N124" s="325" t="s">
        <v>1359</v>
      </c>
      <c r="O124" s="340" t="s">
        <v>1360</v>
      </c>
      <c r="Q124" s="327" t="str">
        <f>IFERROR(VLOOKUP(ROWS($Q$3:Q124),$M$3:$N$992,2,0),"")</f>
        <v>Pěstování rýže</v>
      </c>
      <c r="R124">
        <f>IF(ISNUMBER(SEARCH('1Př1'!$A$32,N124)),MAX($M$2:M123)+1,0)</f>
        <v>122</v>
      </c>
      <c r="S124" s="325" t="s">
        <v>1359</v>
      </c>
      <c r="T124" t="str">
        <f>IFERROR(VLOOKUP(ROWS($T$3:T124),$R$3:$S$992,2,0),"")</f>
        <v>Pěstování rýže</v>
      </c>
      <c r="U124">
        <f>IF(ISNUMBER(SEARCH('1Př1'!$A$33,N124)),MAX($M$2:M123)+1,0)</f>
        <v>122</v>
      </c>
      <c r="V124" s="325" t="s">
        <v>1359</v>
      </c>
      <c r="W124" t="str">
        <f>IFERROR(VLOOKUP(ROWS($W$3:W124),$U$3:$V$992,2,0),"")</f>
        <v>Pěstování rýže</v>
      </c>
      <c r="X124">
        <f>IF(ISNUMBER(SEARCH('1Př1'!$A$34,N124)),MAX($M$2:M123)+1,0)</f>
        <v>122</v>
      </c>
      <c r="Y124" s="325" t="s">
        <v>1359</v>
      </c>
      <c r="Z124" t="str">
        <f>IFERROR(VLOOKUP(ROWS($Z$3:Z124),$X$3:$Y$992,2,0),"")</f>
        <v>Pěstování rýže</v>
      </c>
    </row>
    <row r="125" spans="1:26" ht="12.75" customHeight="1">
      <c r="A125" s="301"/>
      <c r="B125" s="301"/>
      <c r="C125" s="301"/>
      <c r="D125" s="317">
        <f>IF(ISNUMBER(SEARCH(ZAKL_DATA!$B$14,E125)),MAX($D$2:D124)+1,0)</f>
        <v>123</v>
      </c>
      <c r="E125" s="330" t="s">
        <v>1361</v>
      </c>
      <c r="F125" s="331">
        <v>2807</v>
      </c>
      <c r="G125" s="332"/>
      <c r="H125" s="333" t="str">
        <f>IFERROR(VLOOKUP(ROWS($H$3:H125),$D$3:$E$204,2,0),"")</f>
        <v>PŘELOUČ</v>
      </c>
      <c r="I125" s="301"/>
      <c r="J125" s="335" t="s">
        <v>1362</v>
      </c>
      <c r="K125" s="323" t="s">
        <v>1363</v>
      </c>
      <c r="M125" s="324">
        <f>IF(ISNUMBER(SEARCH(ZAKL_DATA!$B$29,N125)),MAX($M$2:M124)+1,0)</f>
        <v>123</v>
      </c>
      <c r="N125" s="325" t="s">
        <v>1364</v>
      </c>
      <c r="O125" s="340" t="s">
        <v>1365</v>
      </c>
      <c r="Q125" s="327" t="str">
        <f>IFERROR(VLOOKUP(ROWS($Q$3:Q125),$M$3:$N$992,2,0),"")</f>
        <v>Pěstování zeleniny a melounů, kořenů a hlíz</v>
      </c>
      <c r="R125">
        <f>IF(ISNUMBER(SEARCH('1Př1'!$A$32,N125)),MAX($M$2:M124)+1,0)</f>
        <v>123</v>
      </c>
      <c r="S125" s="325" t="s">
        <v>1364</v>
      </c>
      <c r="T125" t="str">
        <f>IFERROR(VLOOKUP(ROWS($T$3:T125),$R$3:$S$992,2,0),"")</f>
        <v>Pěstování zeleniny a melounů, kořenů a hlíz</v>
      </c>
      <c r="U125">
        <f>IF(ISNUMBER(SEARCH('1Př1'!$A$33,N125)),MAX($M$2:M124)+1,0)</f>
        <v>123</v>
      </c>
      <c r="V125" s="325" t="s">
        <v>1364</v>
      </c>
      <c r="W125" t="str">
        <f>IFERROR(VLOOKUP(ROWS($W$3:W125),$U$3:$V$992,2,0),"")</f>
        <v>Pěstování zeleniny a melounů, kořenů a hlíz</v>
      </c>
      <c r="X125">
        <f>IF(ISNUMBER(SEARCH('1Př1'!$A$34,N125)),MAX($M$2:M124)+1,0)</f>
        <v>123</v>
      </c>
      <c r="Y125" s="325" t="s">
        <v>1364</v>
      </c>
      <c r="Z125" t="str">
        <f>IFERROR(VLOOKUP(ROWS($Z$3:Z125),$X$3:$Y$992,2,0),"")</f>
        <v>Pěstování zeleniny a melounů, kořenů a hlíz</v>
      </c>
    </row>
    <row r="126" spans="1:26" ht="12.75" customHeight="1">
      <c r="A126" s="301"/>
      <c r="B126" s="301"/>
      <c r="C126" s="301"/>
      <c r="D126" s="317">
        <f>IF(ISNUMBER(SEARCH(ZAKL_DATA!$B$14,E126)),MAX($D$2:D125)+1,0)</f>
        <v>124</v>
      </c>
      <c r="E126" s="330" t="s">
        <v>1366</v>
      </c>
      <c r="F126" s="331">
        <v>2808</v>
      </c>
      <c r="G126" s="332"/>
      <c r="H126" s="333" t="str">
        <f>IFERROR(VLOOKUP(ROWS($H$3:H126),$D$3:$E$204,2,0),"")</f>
        <v>SVITAVY</v>
      </c>
      <c r="I126" s="301"/>
      <c r="J126" s="335" t="s">
        <v>1367</v>
      </c>
      <c r="K126" s="323" t="s">
        <v>1368</v>
      </c>
      <c r="M126" s="324">
        <f>IF(ISNUMBER(SEARCH(ZAKL_DATA!$B$29,N126)),MAX($M$2:M125)+1,0)</f>
        <v>124</v>
      </c>
      <c r="N126" s="325" t="s">
        <v>1369</v>
      </c>
      <c r="O126" s="340" t="s">
        <v>1370</v>
      </c>
      <c r="Q126" s="327" t="str">
        <f>IFERROR(VLOOKUP(ROWS($Q$3:Q126),$M$3:$N$992,2,0),"")</f>
        <v>Pěstování tabáku</v>
      </c>
      <c r="R126">
        <f>IF(ISNUMBER(SEARCH('1Př1'!$A$32,N126)),MAX($M$2:M125)+1,0)</f>
        <v>124</v>
      </c>
      <c r="S126" s="325" t="s">
        <v>1369</v>
      </c>
      <c r="T126" t="str">
        <f>IFERROR(VLOOKUP(ROWS($T$3:T126),$R$3:$S$992,2,0),"")</f>
        <v>Pěstování tabáku</v>
      </c>
      <c r="U126">
        <f>IF(ISNUMBER(SEARCH('1Př1'!$A$33,N126)),MAX($M$2:M125)+1,0)</f>
        <v>124</v>
      </c>
      <c r="V126" s="325" t="s">
        <v>1369</v>
      </c>
      <c r="W126" t="str">
        <f>IFERROR(VLOOKUP(ROWS($W$3:W126),$U$3:$V$992,2,0),"")</f>
        <v>Pěstování tabáku</v>
      </c>
      <c r="X126">
        <f>IF(ISNUMBER(SEARCH('1Př1'!$A$34,N126)),MAX($M$2:M125)+1,0)</f>
        <v>124</v>
      </c>
      <c r="Y126" s="325" t="s">
        <v>1369</v>
      </c>
      <c r="Z126" t="str">
        <f>IFERROR(VLOOKUP(ROWS($Z$3:Z126),$X$3:$Y$992,2,0),"")</f>
        <v>Pěstování tabáku</v>
      </c>
    </row>
    <row r="127" spans="1:26" ht="12.75" customHeight="1">
      <c r="A127" s="301"/>
      <c r="B127" s="301"/>
      <c r="C127" s="301"/>
      <c r="D127" s="317">
        <f>IF(ISNUMBER(SEARCH(ZAKL_DATA!$B$14,E127)),MAX($D$2:D126)+1,0)</f>
        <v>125</v>
      </c>
      <c r="E127" s="330" t="s">
        <v>1371</v>
      </c>
      <c r="F127" s="331">
        <v>2809</v>
      </c>
      <c r="G127" s="332"/>
      <c r="H127" s="333" t="str">
        <f>IFERROR(VLOOKUP(ROWS($H$3:H127),$D$3:$E$204,2,0),"")</f>
        <v>ÚSTÍ NAD ORLICÍ</v>
      </c>
      <c r="I127" s="301"/>
      <c r="J127" s="335" t="s">
        <v>1372</v>
      </c>
      <c r="K127" s="323" t="s">
        <v>1373</v>
      </c>
      <c r="M127" s="324">
        <f>IF(ISNUMBER(SEARCH(ZAKL_DATA!$B$29,N127)),MAX($M$2:M126)+1,0)</f>
        <v>125</v>
      </c>
      <c r="N127" s="325" t="s">
        <v>1374</v>
      </c>
      <c r="O127" s="340" t="s">
        <v>1375</v>
      </c>
      <c r="Q127" s="327" t="str">
        <f>IFERROR(VLOOKUP(ROWS($Q$3:Q127),$M$3:$N$992,2,0),"")</f>
        <v>Pěstování přadných rostlin</v>
      </c>
      <c r="R127">
        <f>IF(ISNUMBER(SEARCH('1Př1'!$A$32,N127)),MAX($M$2:M126)+1,0)</f>
        <v>125</v>
      </c>
      <c r="S127" s="325" t="s">
        <v>1374</v>
      </c>
      <c r="T127" t="str">
        <f>IFERROR(VLOOKUP(ROWS($T$3:T127),$R$3:$S$992,2,0),"")</f>
        <v>Pěstování přadných rostlin</v>
      </c>
      <c r="U127">
        <f>IF(ISNUMBER(SEARCH('1Př1'!$A$33,N127)),MAX($M$2:M126)+1,0)</f>
        <v>125</v>
      </c>
      <c r="V127" s="325" t="s">
        <v>1374</v>
      </c>
      <c r="W127" t="str">
        <f>IFERROR(VLOOKUP(ROWS($W$3:W127),$U$3:$V$992,2,0),"")</f>
        <v>Pěstování přadných rostlin</v>
      </c>
      <c r="X127">
        <f>IF(ISNUMBER(SEARCH('1Př1'!$A$34,N127)),MAX($M$2:M126)+1,0)</f>
        <v>125</v>
      </c>
      <c r="Y127" s="325" t="s">
        <v>1374</v>
      </c>
      <c r="Z127" t="str">
        <f>IFERROR(VLOOKUP(ROWS($Z$3:Z127),$X$3:$Y$992,2,0),"")</f>
        <v>Pěstování přadných rostlin</v>
      </c>
    </row>
    <row r="128" spans="1:26" ht="12.75" customHeight="1">
      <c r="A128" s="301"/>
      <c r="B128" s="301"/>
      <c r="C128" s="301"/>
      <c r="D128" s="317">
        <f>IF(ISNUMBER(SEARCH(ZAKL_DATA!$B$14,E128)),MAX($D$2:D127)+1,0)</f>
        <v>126</v>
      </c>
      <c r="E128" s="330" t="s">
        <v>1376</v>
      </c>
      <c r="F128" s="331">
        <v>2810</v>
      </c>
      <c r="G128" s="332"/>
      <c r="H128" s="333" t="str">
        <f>IFERROR(VLOOKUP(ROWS($H$3:H128),$D$3:$E$204,2,0),"")</f>
        <v>VYSOKÉ MÝTO</v>
      </c>
      <c r="I128" s="301"/>
      <c r="J128" s="335" t="s">
        <v>1377</v>
      </c>
      <c r="K128" s="323" t="s">
        <v>1378</v>
      </c>
      <c r="M128" s="324">
        <f>IF(ISNUMBER(SEARCH(ZAKL_DATA!$B$29,N128)),MAX($M$2:M127)+1,0)</f>
        <v>126</v>
      </c>
      <c r="N128" s="325" t="s">
        <v>1379</v>
      </c>
      <c r="O128" s="340" t="s">
        <v>1380</v>
      </c>
      <c r="Q128" s="327" t="str">
        <f>IFERROR(VLOOKUP(ROWS($Q$3:Q128),$M$3:$N$992,2,0),"")</f>
        <v>Pěstování ostatních plodin jiných než trvalých</v>
      </c>
      <c r="R128">
        <f>IF(ISNUMBER(SEARCH('1Př1'!$A$32,N128)),MAX($M$2:M127)+1,0)</f>
        <v>126</v>
      </c>
      <c r="S128" s="325" t="s">
        <v>1379</v>
      </c>
      <c r="T128" t="str">
        <f>IFERROR(VLOOKUP(ROWS($T$3:T128),$R$3:$S$992,2,0),"")</f>
        <v>Pěstování ostatních plodin jiných než trvalých</v>
      </c>
      <c r="U128">
        <f>IF(ISNUMBER(SEARCH('1Př1'!$A$33,N128)),MAX($M$2:M127)+1,0)</f>
        <v>126</v>
      </c>
      <c r="V128" s="325" t="s">
        <v>1379</v>
      </c>
      <c r="W128" t="str">
        <f>IFERROR(VLOOKUP(ROWS($W$3:W128),$U$3:$V$992,2,0),"")</f>
        <v>Pěstování ostatních plodin jiných než trvalých</v>
      </c>
      <c r="X128">
        <f>IF(ISNUMBER(SEARCH('1Př1'!$A$34,N128)),MAX($M$2:M127)+1,0)</f>
        <v>126</v>
      </c>
      <c r="Y128" s="325" t="s">
        <v>1379</v>
      </c>
      <c r="Z128" t="str">
        <f>IFERROR(VLOOKUP(ROWS($Z$3:Z128),$X$3:$Y$992,2,0),"")</f>
        <v>Pěstování ostatních plodin jiných než trvalých</v>
      </c>
    </row>
    <row r="129" spans="1:26" ht="12.75" customHeight="1">
      <c r="A129" s="301"/>
      <c r="B129" s="301"/>
      <c r="C129" s="301"/>
      <c r="D129" s="317">
        <f>IF(ISNUMBER(SEARCH(ZAKL_DATA!$B$14,E129)),MAX($D$2:D128)+1,0)</f>
        <v>127</v>
      </c>
      <c r="E129" s="330" t="s">
        <v>1381</v>
      </c>
      <c r="F129" s="331">
        <v>2811</v>
      </c>
      <c r="G129" s="332"/>
      <c r="H129" s="333" t="str">
        <f>IFERROR(VLOOKUP(ROWS($H$3:H129),$D$3:$E$204,2,0),"")</f>
        <v>ŽAMBERK</v>
      </c>
      <c r="I129" s="301"/>
      <c r="J129" s="335" t="s">
        <v>1382</v>
      </c>
      <c r="K129" s="323" t="s">
        <v>1383</v>
      </c>
      <c r="M129" s="324">
        <f>IF(ISNUMBER(SEARCH(ZAKL_DATA!$B$29,N129)),MAX($M$2:M128)+1,0)</f>
        <v>127</v>
      </c>
      <c r="N129" s="325" t="s">
        <v>1384</v>
      </c>
      <c r="O129" s="340" t="s">
        <v>1385</v>
      </c>
      <c r="Q129" s="327" t="str">
        <f>IFERROR(VLOOKUP(ROWS($Q$3:Q129),$M$3:$N$992,2,0),"")</f>
        <v>Pěstování vinných hroznů</v>
      </c>
      <c r="R129">
        <f>IF(ISNUMBER(SEARCH('1Př1'!$A$32,N129)),MAX($M$2:M128)+1,0)</f>
        <v>127</v>
      </c>
      <c r="S129" s="325" t="s">
        <v>1384</v>
      </c>
      <c r="T129" t="str">
        <f>IFERROR(VLOOKUP(ROWS($T$3:T129),$R$3:$S$992,2,0),"")</f>
        <v>Pěstování vinných hroznů</v>
      </c>
      <c r="U129">
        <f>IF(ISNUMBER(SEARCH('1Př1'!$A$33,N129)),MAX($M$2:M128)+1,0)</f>
        <v>127</v>
      </c>
      <c r="V129" s="325" t="s">
        <v>1384</v>
      </c>
      <c r="W129" t="str">
        <f>IFERROR(VLOOKUP(ROWS($W$3:W129),$U$3:$V$992,2,0),"")</f>
        <v>Pěstování vinných hroznů</v>
      </c>
      <c r="X129">
        <f>IF(ISNUMBER(SEARCH('1Př1'!$A$34,N129)),MAX($M$2:M128)+1,0)</f>
        <v>127</v>
      </c>
      <c r="Y129" s="325" t="s">
        <v>1384</v>
      </c>
      <c r="Z129" t="str">
        <f>IFERROR(VLOOKUP(ROWS($Z$3:Z129),$X$3:$Y$992,2,0),"")</f>
        <v>Pěstování vinných hroznů</v>
      </c>
    </row>
    <row r="130" spans="1:26" ht="12.75" customHeight="1">
      <c r="A130" s="301"/>
      <c r="B130" s="301"/>
      <c r="C130" s="301"/>
      <c r="D130" s="317">
        <f>IF(ISNUMBER(SEARCH(ZAKL_DATA!$B$14,E130)),MAX($D$2:D129)+1,0)</f>
        <v>128</v>
      </c>
      <c r="E130" s="330" t="s">
        <v>1386</v>
      </c>
      <c r="F130" s="331">
        <v>2901</v>
      </c>
      <c r="G130" s="332"/>
      <c r="H130" s="333" t="str">
        <f>IFERROR(VLOOKUP(ROWS($H$3:H130),$D$3:$E$204,2,0),"")</f>
        <v>JIHLAVA</v>
      </c>
      <c r="I130" s="301"/>
      <c r="J130" s="335" t="s">
        <v>1387</v>
      </c>
      <c r="K130" s="323" t="s">
        <v>1388</v>
      </c>
      <c r="M130" s="324">
        <f>IF(ISNUMBER(SEARCH(ZAKL_DATA!$B$29,N130)),MAX($M$2:M129)+1,0)</f>
        <v>128</v>
      </c>
      <c r="N130" s="325" t="s">
        <v>1389</v>
      </c>
      <c r="O130" s="340" t="s">
        <v>1390</v>
      </c>
      <c r="Q130" s="327" t="str">
        <f>IFERROR(VLOOKUP(ROWS($Q$3:Q130),$M$3:$N$992,2,0),"")</f>
        <v>Pěstování tropického a subtropického ovoce</v>
      </c>
      <c r="R130">
        <f>IF(ISNUMBER(SEARCH('1Př1'!$A$32,N130)),MAX($M$2:M129)+1,0)</f>
        <v>128</v>
      </c>
      <c r="S130" s="325" t="s">
        <v>1389</v>
      </c>
      <c r="T130" t="str">
        <f>IFERROR(VLOOKUP(ROWS($T$3:T130),$R$3:$S$992,2,0),"")</f>
        <v>Pěstování tropického a subtropického ovoce</v>
      </c>
      <c r="U130">
        <f>IF(ISNUMBER(SEARCH('1Př1'!$A$33,N130)),MAX($M$2:M129)+1,0)</f>
        <v>128</v>
      </c>
      <c r="V130" s="325" t="s">
        <v>1389</v>
      </c>
      <c r="W130" t="str">
        <f>IFERROR(VLOOKUP(ROWS($W$3:W130),$U$3:$V$992,2,0),"")</f>
        <v>Pěstování tropického a subtropického ovoce</v>
      </c>
      <c r="X130">
        <f>IF(ISNUMBER(SEARCH('1Př1'!$A$34,N130)),MAX($M$2:M129)+1,0)</f>
        <v>128</v>
      </c>
      <c r="Y130" s="325" t="s">
        <v>1389</v>
      </c>
      <c r="Z130" t="str">
        <f>IFERROR(VLOOKUP(ROWS($Z$3:Z130),$X$3:$Y$992,2,0),"")</f>
        <v>Pěstování tropického a subtropického ovoce</v>
      </c>
    </row>
    <row r="131" spans="1:26" ht="12.75" customHeight="1">
      <c r="A131" s="301"/>
      <c r="B131" s="301"/>
      <c r="C131" s="301"/>
      <c r="D131" s="317">
        <f>IF(ISNUMBER(SEARCH(ZAKL_DATA!$B$14,E131)),MAX($D$2:D130)+1,0)</f>
        <v>129</v>
      </c>
      <c r="E131" s="330" t="s">
        <v>1391</v>
      </c>
      <c r="F131" s="331">
        <v>2902</v>
      </c>
      <c r="G131" s="332"/>
      <c r="H131" s="333" t="str">
        <f>IFERROR(VLOOKUP(ROWS($H$3:H131),$D$3:$E$204,2,0),"")</f>
        <v>BYSTŘICE NAD PERN.</v>
      </c>
      <c r="I131" s="301"/>
      <c r="J131" s="335" t="s">
        <v>1392</v>
      </c>
      <c r="K131" s="323" t="s">
        <v>1393</v>
      </c>
      <c r="M131" s="324">
        <f>IF(ISNUMBER(SEARCH(ZAKL_DATA!$B$29,N131)),MAX($M$2:M130)+1,0)</f>
        <v>129</v>
      </c>
      <c r="N131" s="325" t="s">
        <v>1394</v>
      </c>
      <c r="O131" s="340" t="s">
        <v>1395</v>
      </c>
      <c r="Q131" s="327" t="str">
        <f>IFERROR(VLOOKUP(ROWS($Q$3:Q131),$M$3:$N$992,2,0),"")</f>
        <v>Pěstování citrusových plodů</v>
      </c>
      <c r="R131">
        <f>IF(ISNUMBER(SEARCH('1Př1'!$A$32,N131)),MAX($M$2:M130)+1,0)</f>
        <v>129</v>
      </c>
      <c r="S131" s="325" t="s">
        <v>1394</v>
      </c>
      <c r="T131" t="str">
        <f>IFERROR(VLOOKUP(ROWS($T$3:T131),$R$3:$S$992,2,0),"")</f>
        <v>Pěstování citrusových plodů</v>
      </c>
      <c r="U131">
        <f>IF(ISNUMBER(SEARCH('1Př1'!$A$33,N131)),MAX($M$2:M130)+1,0)</f>
        <v>129</v>
      </c>
      <c r="V131" s="325" t="s">
        <v>1394</v>
      </c>
      <c r="W131" t="str">
        <f>IFERROR(VLOOKUP(ROWS($W$3:W131),$U$3:$V$992,2,0),"")</f>
        <v>Pěstování citrusových plodů</v>
      </c>
      <c r="X131">
        <f>IF(ISNUMBER(SEARCH('1Př1'!$A$34,N131)),MAX($M$2:M130)+1,0)</f>
        <v>129</v>
      </c>
      <c r="Y131" s="325" t="s">
        <v>1394</v>
      </c>
      <c r="Z131" t="str">
        <f>IFERROR(VLOOKUP(ROWS($Z$3:Z131),$X$3:$Y$992,2,0),"")</f>
        <v>Pěstování citrusových plodů</v>
      </c>
    </row>
    <row r="132" spans="1:26" ht="12.75" customHeight="1">
      <c r="A132" s="301"/>
      <c r="B132" s="301"/>
      <c r="C132" s="301"/>
      <c r="D132" s="317">
        <f>IF(ISNUMBER(SEARCH(ZAKL_DATA!$B$14,E132)),MAX($D$2:D131)+1,0)</f>
        <v>130</v>
      </c>
      <c r="E132" s="330" t="s">
        <v>1396</v>
      </c>
      <c r="F132" s="331">
        <v>2903</v>
      </c>
      <c r="G132" s="332"/>
      <c r="H132" s="333" t="str">
        <f>IFERROR(VLOOKUP(ROWS($H$3:H132),$D$3:$E$204,2,0),"")</f>
        <v>HAVLÍČKŮV BROD</v>
      </c>
      <c r="I132" s="301"/>
      <c r="J132" s="335" t="s">
        <v>1397</v>
      </c>
      <c r="K132" s="323" t="s">
        <v>1398</v>
      </c>
      <c r="M132" s="324">
        <f>IF(ISNUMBER(SEARCH(ZAKL_DATA!$B$29,N132)),MAX($M$2:M131)+1,0)</f>
        <v>130</v>
      </c>
      <c r="N132" s="325" t="s">
        <v>1399</v>
      </c>
      <c r="O132" s="340" t="s">
        <v>1400</v>
      </c>
      <c r="Q132" s="327" t="str">
        <f>IFERROR(VLOOKUP(ROWS($Q$3:Q132),$M$3:$N$992,2,0),"")</f>
        <v>Pěstování jádrového a peckového ovoce</v>
      </c>
      <c r="R132">
        <f>IF(ISNUMBER(SEARCH('1Př1'!$A$32,N132)),MAX($M$2:M131)+1,0)</f>
        <v>130</v>
      </c>
      <c r="S132" s="325" t="s">
        <v>1399</v>
      </c>
      <c r="T132" t="str">
        <f>IFERROR(VLOOKUP(ROWS($T$3:T132),$R$3:$S$992,2,0),"")</f>
        <v>Pěstování jádrového a peckového ovoce</v>
      </c>
      <c r="U132">
        <f>IF(ISNUMBER(SEARCH('1Př1'!$A$33,N132)),MAX($M$2:M131)+1,0)</f>
        <v>130</v>
      </c>
      <c r="V132" s="325" t="s">
        <v>1399</v>
      </c>
      <c r="W132" t="str">
        <f>IFERROR(VLOOKUP(ROWS($W$3:W132),$U$3:$V$992,2,0),"")</f>
        <v>Pěstování jádrového a peckového ovoce</v>
      </c>
      <c r="X132">
        <f>IF(ISNUMBER(SEARCH('1Př1'!$A$34,N132)),MAX($M$2:M131)+1,0)</f>
        <v>130</v>
      </c>
      <c r="Y132" s="325" t="s">
        <v>1399</v>
      </c>
      <c r="Z132" t="str">
        <f>IFERROR(VLOOKUP(ROWS($Z$3:Z132),$X$3:$Y$992,2,0),"")</f>
        <v>Pěstování jádrového a peckového ovoce</v>
      </c>
    </row>
    <row r="133" spans="1:26" ht="12.75" customHeight="1">
      <c r="A133" s="301"/>
      <c r="B133" s="301"/>
      <c r="C133" s="301"/>
      <c r="D133" s="317">
        <f>IF(ISNUMBER(SEARCH(ZAKL_DATA!$B$14,E133)),MAX($D$2:D132)+1,0)</f>
        <v>131</v>
      </c>
      <c r="E133" s="330" t="s">
        <v>1401</v>
      </c>
      <c r="F133" s="331">
        <v>2904</v>
      </c>
      <c r="G133" s="332"/>
      <c r="H133" s="333" t="str">
        <f>IFERROR(VLOOKUP(ROWS($H$3:H133),$D$3:$E$204,2,0),"")</f>
        <v>HUMPOLEC</v>
      </c>
      <c r="I133" s="301"/>
      <c r="J133" s="338" t="s">
        <v>1402</v>
      </c>
      <c r="K133" s="339" t="s">
        <v>1403</v>
      </c>
      <c r="M133" s="324">
        <f>IF(ISNUMBER(SEARCH(ZAKL_DATA!$B$29,N133)),MAX($M$2:M132)+1,0)</f>
        <v>131</v>
      </c>
      <c r="N133" s="325" t="s">
        <v>1404</v>
      </c>
      <c r="O133" s="340" t="s">
        <v>1405</v>
      </c>
      <c r="Q133" s="327" t="str">
        <f>IFERROR(VLOOKUP(ROWS($Q$3:Q133),$M$3:$N$992,2,0),"")</f>
        <v>Pěstování ostatního stromového a keřového ovoce a ořechů</v>
      </c>
      <c r="R133">
        <f>IF(ISNUMBER(SEARCH('1Př1'!$A$32,N133)),MAX($M$2:M132)+1,0)</f>
        <v>131</v>
      </c>
      <c r="S133" s="325" t="s">
        <v>1404</v>
      </c>
      <c r="T133" t="str">
        <f>IFERROR(VLOOKUP(ROWS($T$3:T133),$R$3:$S$992,2,0),"")</f>
        <v>Pěstování ostatního stromového a keřového ovoce a ořechů</v>
      </c>
      <c r="U133">
        <f>IF(ISNUMBER(SEARCH('1Př1'!$A$33,N133)),MAX($M$2:M132)+1,0)</f>
        <v>131</v>
      </c>
      <c r="V133" s="325" t="s">
        <v>1404</v>
      </c>
      <c r="W133" t="str">
        <f>IFERROR(VLOOKUP(ROWS($W$3:W133),$U$3:$V$992,2,0),"")</f>
        <v>Pěstování ostatního stromového a keřového ovoce a ořechů</v>
      </c>
      <c r="X133">
        <f>IF(ISNUMBER(SEARCH('1Př1'!$A$34,N133)),MAX($M$2:M132)+1,0)</f>
        <v>131</v>
      </c>
      <c r="Y133" s="325" t="s">
        <v>1404</v>
      </c>
      <c r="Z133" t="str">
        <f>IFERROR(VLOOKUP(ROWS($Z$3:Z133),$X$3:$Y$992,2,0),"")</f>
        <v>Pěstování ostatního stromového a keřového ovoce a ořechů</v>
      </c>
    </row>
    <row r="134" spans="1:26" ht="12.75" customHeight="1">
      <c r="A134" s="301"/>
      <c r="B134" s="301"/>
      <c r="C134" s="301"/>
      <c r="D134" s="317">
        <f>IF(ISNUMBER(SEARCH(ZAKL_DATA!$B$14,E134)),MAX($D$2:D133)+1,0)</f>
        <v>132</v>
      </c>
      <c r="E134" s="330" t="s">
        <v>1406</v>
      </c>
      <c r="F134" s="331">
        <v>2905</v>
      </c>
      <c r="G134" s="332"/>
      <c r="H134" s="333" t="str">
        <f>IFERROR(VLOOKUP(ROWS($H$3:H134),$D$3:$E$204,2,0),"")</f>
        <v>CHOTĚBOŘ</v>
      </c>
      <c r="I134" s="301"/>
      <c r="J134" s="335" t="s">
        <v>1407</v>
      </c>
      <c r="K134" s="323" t="s">
        <v>1408</v>
      </c>
      <c r="M134" s="324">
        <f>IF(ISNUMBER(SEARCH(ZAKL_DATA!$B$29,N134)),MAX($M$2:M133)+1,0)</f>
        <v>132</v>
      </c>
      <c r="N134" s="325" t="s">
        <v>1409</v>
      </c>
      <c r="O134" s="340" t="s">
        <v>1410</v>
      </c>
      <c r="Q134" s="327" t="str">
        <f>IFERROR(VLOOKUP(ROWS($Q$3:Q134),$M$3:$N$992,2,0),"")</f>
        <v>Pěstování olejnatých plodů</v>
      </c>
      <c r="R134">
        <f>IF(ISNUMBER(SEARCH('1Př1'!$A$32,N134)),MAX($M$2:M133)+1,0)</f>
        <v>132</v>
      </c>
      <c r="S134" s="325" t="s">
        <v>1409</v>
      </c>
      <c r="T134" t="str">
        <f>IFERROR(VLOOKUP(ROWS($T$3:T134),$R$3:$S$992,2,0),"")</f>
        <v>Pěstování olejnatých plodů</v>
      </c>
      <c r="U134">
        <f>IF(ISNUMBER(SEARCH('1Př1'!$A$33,N134)),MAX($M$2:M133)+1,0)</f>
        <v>132</v>
      </c>
      <c r="V134" s="325" t="s">
        <v>1409</v>
      </c>
      <c r="W134" t="str">
        <f>IFERROR(VLOOKUP(ROWS($W$3:W134),$U$3:$V$992,2,0),"")</f>
        <v>Pěstování olejnatých plodů</v>
      </c>
      <c r="X134">
        <f>IF(ISNUMBER(SEARCH('1Př1'!$A$34,N134)),MAX($M$2:M133)+1,0)</f>
        <v>132</v>
      </c>
      <c r="Y134" s="325" t="s">
        <v>1409</v>
      </c>
      <c r="Z134" t="str">
        <f>IFERROR(VLOOKUP(ROWS($Z$3:Z134),$X$3:$Y$992,2,0),"")</f>
        <v>Pěstování olejnatých plodů</v>
      </c>
    </row>
    <row r="135" spans="1:26" ht="12.75" customHeight="1">
      <c r="A135" s="301"/>
      <c r="B135" s="301"/>
      <c r="C135" s="301"/>
      <c r="D135" s="317">
        <f>IF(ISNUMBER(SEARCH(ZAKL_DATA!$B$14,E135)),MAX($D$2:D134)+1,0)</f>
        <v>133</v>
      </c>
      <c r="E135" s="330" t="s">
        <v>1411</v>
      </c>
      <c r="F135" s="331">
        <v>2906</v>
      </c>
      <c r="G135" s="332"/>
      <c r="H135" s="333" t="str">
        <f>IFERROR(VLOOKUP(ROWS($H$3:H135),$D$3:$E$204,2,0),"")</f>
        <v>LEDEČ NAD SÁZAVOU</v>
      </c>
      <c r="I135" s="301"/>
      <c r="J135" s="334" t="s">
        <v>1412</v>
      </c>
      <c r="K135" s="323" t="s">
        <v>1413</v>
      </c>
      <c r="M135" s="324">
        <f>IF(ISNUMBER(SEARCH(ZAKL_DATA!$B$29,N135)),MAX($M$2:M134)+1,0)</f>
        <v>133</v>
      </c>
      <c r="N135" s="325" t="s">
        <v>1414</v>
      </c>
      <c r="O135" s="340" t="s">
        <v>1415</v>
      </c>
      <c r="Q135" s="327" t="str">
        <f>IFERROR(VLOOKUP(ROWS($Q$3:Q135),$M$3:$N$992,2,0),"")</f>
        <v>Pěstování rostlin pro výrobu nápojů</v>
      </c>
      <c r="R135">
        <f>IF(ISNUMBER(SEARCH('1Př1'!$A$32,N135)),MAX($M$2:M134)+1,0)</f>
        <v>133</v>
      </c>
      <c r="S135" s="325" t="s">
        <v>1414</v>
      </c>
      <c r="T135" t="str">
        <f>IFERROR(VLOOKUP(ROWS($T$3:T135),$R$3:$S$992,2,0),"")</f>
        <v>Pěstování rostlin pro výrobu nápojů</v>
      </c>
      <c r="U135">
        <f>IF(ISNUMBER(SEARCH('1Př1'!$A$33,N135)),MAX($M$2:M134)+1,0)</f>
        <v>133</v>
      </c>
      <c r="V135" s="325" t="s">
        <v>1414</v>
      </c>
      <c r="W135" t="str">
        <f>IFERROR(VLOOKUP(ROWS($W$3:W135),$U$3:$V$992,2,0),"")</f>
        <v>Pěstování rostlin pro výrobu nápojů</v>
      </c>
      <c r="X135">
        <f>IF(ISNUMBER(SEARCH('1Př1'!$A$34,N135)),MAX($M$2:M134)+1,0)</f>
        <v>133</v>
      </c>
      <c r="Y135" s="325" t="s">
        <v>1414</v>
      </c>
      <c r="Z135" t="str">
        <f>IFERROR(VLOOKUP(ROWS($Z$3:Z135),$X$3:$Y$992,2,0),"")</f>
        <v>Pěstování rostlin pro výrobu nápojů</v>
      </c>
    </row>
    <row r="136" spans="1:26" ht="12.75" customHeight="1">
      <c r="A136" s="301"/>
      <c r="B136" s="301"/>
      <c r="C136" s="301"/>
      <c r="D136" s="317">
        <f>IF(ISNUMBER(SEARCH(ZAKL_DATA!$B$14,E136)),MAX($D$2:D135)+1,0)</f>
        <v>134</v>
      </c>
      <c r="E136" s="330" t="s">
        <v>1416</v>
      </c>
      <c r="F136" s="331">
        <v>2907</v>
      </c>
      <c r="G136" s="332"/>
      <c r="H136" s="333" t="str">
        <f>IFERROR(VLOOKUP(ROWS($H$3:H136),$D$3:$E$204,2,0),"")</f>
        <v>MORAVSKÉ BUDĚJOVICE</v>
      </c>
      <c r="I136" s="301"/>
      <c r="J136" s="335" t="s">
        <v>1417</v>
      </c>
      <c r="K136" s="323" t="s">
        <v>1418</v>
      </c>
      <c r="M136" s="324">
        <f>IF(ISNUMBER(SEARCH(ZAKL_DATA!$B$29,N136)),MAX($M$2:M135)+1,0)</f>
        <v>134</v>
      </c>
      <c r="N136" s="325" t="s">
        <v>1419</v>
      </c>
      <c r="O136" s="340" t="s">
        <v>1420</v>
      </c>
      <c r="Q136" s="327" t="str">
        <f>IFERROR(VLOOKUP(ROWS($Q$3:Q136),$M$3:$N$992,2,0),"")</f>
        <v>Pěstování koření, aromatických, léčivých a farmaceutických rostlin</v>
      </c>
      <c r="R136">
        <f>IF(ISNUMBER(SEARCH('1Př1'!$A$32,N136)),MAX($M$2:M135)+1,0)</f>
        <v>134</v>
      </c>
      <c r="S136" s="325" t="s">
        <v>1419</v>
      </c>
      <c r="T136" t="str">
        <f>IFERROR(VLOOKUP(ROWS($T$3:T136),$R$3:$S$992,2,0),"")</f>
        <v>Pěstování koření, aromatických, léčivých a farmaceutických rostlin</v>
      </c>
      <c r="U136">
        <f>IF(ISNUMBER(SEARCH('1Př1'!$A$33,N136)),MAX($M$2:M135)+1,0)</f>
        <v>134</v>
      </c>
      <c r="V136" s="325" t="s">
        <v>1419</v>
      </c>
      <c r="W136" t="str">
        <f>IFERROR(VLOOKUP(ROWS($W$3:W136),$U$3:$V$992,2,0),"")</f>
        <v>Pěstování koření, aromatických, léčivých a farmaceutických rostlin</v>
      </c>
      <c r="X136">
        <f>IF(ISNUMBER(SEARCH('1Př1'!$A$34,N136)),MAX($M$2:M135)+1,0)</f>
        <v>134</v>
      </c>
      <c r="Y136" s="325" t="s">
        <v>1419</v>
      </c>
      <c r="Z136" t="str">
        <f>IFERROR(VLOOKUP(ROWS($Z$3:Z136),$X$3:$Y$992,2,0),"")</f>
        <v>Pěstování koření, aromatických, léčivých a farmaceutických rostlin</v>
      </c>
    </row>
    <row r="137" spans="1:26" ht="12.75" customHeight="1">
      <c r="A137" s="301"/>
      <c r="B137" s="301"/>
      <c r="C137" s="301"/>
      <c r="D137" s="317">
        <f>IF(ISNUMBER(SEARCH(ZAKL_DATA!$B$14,E137)),MAX($D$2:D136)+1,0)</f>
        <v>135</v>
      </c>
      <c r="E137" s="330" t="s">
        <v>1421</v>
      </c>
      <c r="F137" s="331">
        <v>2908</v>
      </c>
      <c r="G137" s="332"/>
      <c r="H137" s="333" t="str">
        <f>IFERROR(VLOOKUP(ROWS($H$3:H137),$D$3:$E$204,2,0),"")</f>
        <v>NÁMĚŠŤ NAD OSLAVOU</v>
      </c>
      <c r="I137" s="301"/>
      <c r="J137" s="335" t="s">
        <v>1422</v>
      </c>
      <c r="K137" s="323" t="s">
        <v>1423</v>
      </c>
      <c r="M137" s="324">
        <f>IF(ISNUMBER(SEARCH(ZAKL_DATA!$B$29,N137)),MAX($M$2:M136)+1,0)</f>
        <v>135</v>
      </c>
      <c r="N137" s="325" t="s">
        <v>1424</v>
      </c>
      <c r="O137" s="340" t="s">
        <v>1425</v>
      </c>
      <c r="Q137" s="327" t="str">
        <f>IFERROR(VLOOKUP(ROWS($Q$3:Q137),$M$3:$N$992,2,0),"")</f>
        <v>Pěstování ostatních trvalých plodin</v>
      </c>
      <c r="R137">
        <f>IF(ISNUMBER(SEARCH('1Př1'!$A$32,N137)),MAX($M$2:M136)+1,0)</f>
        <v>135</v>
      </c>
      <c r="S137" s="325" t="s">
        <v>1424</v>
      </c>
      <c r="T137" t="str">
        <f>IFERROR(VLOOKUP(ROWS($T$3:T137),$R$3:$S$992,2,0),"")</f>
        <v>Pěstování ostatních trvalých plodin</v>
      </c>
      <c r="U137">
        <f>IF(ISNUMBER(SEARCH('1Př1'!$A$33,N137)),MAX($M$2:M136)+1,0)</f>
        <v>135</v>
      </c>
      <c r="V137" s="325" t="s">
        <v>1424</v>
      </c>
      <c r="W137" t="str">
        <f>IFERROR(VLOOKUP(ROWS($W$3:W137),$U$3:$V$992,2,0),"")</f>
        <v>Pěstování ostatních trvalých plodin</v>
      </c>
      <c r="X137">
        <f>IF(ISNUMBER(SEARCH('1Př1'!$A$34,N137)),MAX($M$2:M136)+1,0)</f>
        <v>135</v>
      </c>
      <c r="Y137" s="325" t="s">
        <v>1424</v>
      </c>
      <c r="Z137" t="str">
        <f>IFERROR(VLOOKUP(ROWS($Z$3:Z137),$X$3:$Y$992,2,0),"")</f>
        <v>Pěstování ostatních trvalých plodin</v>
      </c>
    </row>
    <row r="138" spans="1:26" ht="12.75" customHeight="1">
      <c r="A138" s="301"/>
      <c r="B138" s="301"/>
      <c r="C138" s="301"/>
      <c r="D138" s="317">
        <f>IF(ISNUMBER(SEARCH(ZAKL_DATA!$B$14,E138)),MAX($D$2:D137)+1,0)</f>
        <v>136</v>
      </c>
      <c r="E138" s="330" t="s">
        <v>1426</v>
      </c>
      <c r="F138" s="331">
        <v>2909</v>
      </c>
      <c r="G138" s="332"/>
      <c r="H138" s="333" t="str">
        <f>IFERROR(VLOOKUP(ROWS($H$3:H138),$D$3:$E$204,2,0),"")</f>
        <v>PACOV</v>
      </c>
      <c r="I138" s="301"/>
      <c r="J138" s="335" t="s">
        <v>1427</v>
      </c>
      <c r="K138" s="323" t="s">
        <v>1428</v>
      </c>
      <c r="M138" s="324">
        <f>IF(ISNUMBER(SEARCH(ZAKL_DATA!$B$29,N138)),MAX($M$2:M137)+1,0)</f>
        <v>136</v>
      </c>
      <c r="N138" s="325" t="s">
        <v>1429</v>
      </c>
      <c r="O138" s="340" t="s">
        <v>1430</v>
      </c>
      <c r="Q138" s="327" t="str">
        <f>IFERROR(VLOOKUP(ROWS($Q$3:Q138),$M$3:$N$992,2,0),"")</f>
        <v>Úprava a spřádání textilních vláken a příze</v>
      </c>
      <c r="R138">
        <f>IF(ISNUMBER(SEARCH('1Př1'!$A$32,N138)),MAX($M$2:M137)+1,0)</f>
        <v>136</v>
      </c>
      <c r="S138" s="325" t="s">
        <v>1429</v>
      </c>
      <c r="T138" t="str">
        <f>IFERROR(VLOOKUP(ROWS($T$3:T138),$R$3:$S$992,2,0),"")</f>
        <v>Úprava a spřádání textilních vláken a příze</v>
      </c>
      <c r="U138">
        <f>IF(ISNUMBER(SEARCH('1Př1'!$A$33,N138)),MAX($M$2:M137)+1,0)</f>
        <v>136</v>
      </c>
      <c r="V138" s="325" t="s">
        <v>1429</v>
      </c>
      <c r="W138" t="str">
        <f>IFERROR(VLOOKUP(ROWS($W$3:W138),$U$3:$V$992,2,0),"")</f>
        <v>Úprava a spřádání textilních vláken a příze</v>
      </c>
      <c r="X138">
        <f>IF(ISNUMBER(SEARCH('1Př1'!$A$34,N138)),MAX($M$2:M137)+1,0)</f>
        <v>136</v>
      </c>
      <c r="Y138" s="325" t="s">
        <v>1429</v>
      </c>
      <c r="Z138" t="str">
        <f>IFERROR(VLOOKUP(ROWS($Z$3:Z138),$X$3:$Y$992,2,0),"")</f>
        <v>Úprava a spřádání textilních vláken a příze</v>
      </c>
    </row>
    <row r="139" spans="1:26" ht="12.75" customHeight="1">
      <c r="A139" s="301"/>
      <c r="B139" s="301"/>
      <c r="C139" s="301"/>
      <c r="D139" s="317">
        <f>IF(ISNUMBER(SEARCH(ZAKL_DATA!$B$14,E139)),MAX($D$2:D138)+1,0)</f>
        <v>137</v>
      </c>
      <c r="E139" s="330" t="s">
        <v>1431</v>
      </c>
      <c r="F139" s="331">
        <v>2910</v>
      </c>
      <c r="G139" s="332"/>
      <c r="H139" s="333" t="str">
        <f>IFERROR(VLOOKUP(ROWS($H$3:H139),$D$3:$E$204,2,0),"")</f>
        <v>PELHŘIMOV</v>
      </c>
      <c r="I139" s="301"/>
      <c r="J139" s="335" t="s">
        <v>1432</v>
      </c>
      <c r="K139" s="323" t="s">
        <v>1433</v>
      </c>
      <c r="M139" s="324">
        <f>IF(ISNUMBER(SEARCH(ZAKL_DATA!$B$29,N139)),MAX($M$2:M138)+1,0)</f>
        <v>137</v>
      </c>
      <c r="N139" s="325" t="s">
        <v>1434</v>
      </c>
      <c r="O139" s="340" t="s">
        <v>1435</v>
      </c>
      <c r="Q139" s="327" t="str">
        <f>IFERROR(VLOOKUP(ROWS($Q$3:Q139),$M$3:$N$992,2,0),"")</f>
        <v>Tkaní textilií</v>
      </c>
      <c r="R139">
        <f>IF(ISNUMBER(SEARCH('1Př1'!$A$32,N139)),MAX($M$2:M138)+1,0)</f>
        <v>137</v>
      </c>
      <c r="S139" s="325" t="s">
        <v>1434</v>
      </c>
      <c r="T139" t="str">
        <f>IFERROR(VLOOKUP(ROWS($T$3:T139),$R$3:$S$992,2,0),"")</f>
        <v>Tkaní textilií</v>
      </c>
      <c r="U139">
        <f>IF(ISNUMBER(SEARCH('1Př1'!$A$33,N139)),MAX($M$2:M138)+1,0)</f>
        <v>137</v>
      </c>
      <c r="V139" s="325" t="s">
        <v>1434</v>
      </c>
      <c r="W139" t="str">
        <f>IFERROR(VLOOKUP(ROWS($W$3:W139),$U$3:$V$992,2,0),"")</f>
        <v>Tkaní textilií</v>
      </c>
      <c r="X139">
        <f>IF(ISNUMBER(SEARCH('1Př1'!$A$34,N139)),MAX($M$2:M138)+1,0)</f>
        <v>137</v>
      </c>
      <c r="Y139" s="325" t="s">
        <v>1434</v>
      </c>
      <c r="Z139" t="str">
        <f>IFERROR(VLOOKUP(ROWS($Z$3:Z139),$X$3:$Y$992,2,0),"")</f>
        <v>Tkaní textilií</v>
      </c>
    </row>
    <row r="140" spans="1:26" ht="12.75" customHeight="1">
      <c r="A140" s="301"/>
      <c r="B140" s="301"/>
      <c r="C140" s="301"/>
      <c r="D140" s="317">
        <f>IF(ISNUMBER(SEARCH(ZAKL_DATA!$B$14,E140)),MAX($D$2:D139)+1,0)</f>
        <v>138</v>
      </c>
      <c r="E140" s="330" t="s">
        <v>1436</v>
      </c>
      <c r="F140" s="331">
        <v>2911</v>
      </c>
      <c r="G140" s="332"/>
      <c r="H140" s="333" t="str">
        <f>IFERROR(VLOOKUP(ROWS($H$3:H140),$D$3:$E$204,2,0),"")</f>
        <v>TELČ</v>
      </c>
      <c r="I140" s="301"/>
      <c r="J140" s="335" t="s">
        <v>1437</v>
      </c>
      <c r="K140" s="323" t="s">
        <v>1438</v>
      </c>
      <c r="M140" s="324">
        <f>IF(ISNUMBER(SEARCH(ZAKL_DATA!$B$29,N140)),MAX($M$2:M139)+1,0)</f>
        <v>138</v>
      </c>
      <c r="N140" s="325" t="s">
        <v>1439</v>
      </c>
      <c r="O140" s="340" t="s">
        <v>1440</v>
      </c>
      <c r="Q140" s="327" t="str">
        <f>IFERROR(VLOOKUP(ROWS($Q$3:Q140),$M$3:$N$992,2,0),"")</f>
        <v>Konečná úprava textilií</v>
      </c>
      <c r="R140">
        <f>IF(ISNUMBER(SEARCH('1Př1'!$A$32,N140)),MAX($M$2:M139)+1,0)</f>
        <v>138</v>
      </c>
      <c r="S140" s="325" t="s">
        <v>1439</v>
      </c>
      <c r="T140" t="str">
        <f>IFERROR(VLOOKUP(ROWS($T$3:T140),$R$3:$S$992,2,0),"")</f>
        <v>Konečná úprava textilií</v>
      </c>
      <c r="U140">
        <f>IF(ISNUMBER(SEARCH('1Př1'!$A$33,N140)),MAX($M$2:M139)+1,0)</f>
        <v>138</v>
      </c>
      <c r="V140" s="325" t="s">
        <v>1439</v>
      </c>
      <c r="W140" t="str">
        <f>IFERROR(VLOOKUP(ROWS($W$3:W140),$U$3:$V$992,2,0),"")</f>
        <v>Konečná úprava textilií</v>
      </c>
      <c r="X140">
        <f>IF(ISNUMBER(SEARCH('1Př1'!$A$34,N140)),MAX($M$2:M139)+1,0)</f>
        <v>138</v>
      </c>
      <c r="Y140" s="325" t="s">
        <v>1439</v>
      </c>
      <c r="Z140" t="str">
        <f>IFERROR(VLOOKUP(ROWS($Z$3:Z140),$X$3:$Y$992,2,0),"")</f>
        <v>Konečná úprava textilií</v>
      </c>
    </row>
    <row r="141" spans="1:26" ht="12.75" customHeight="1">
      <c r="A141" s="301"/>
      <c r="B141" s="301"/>
      <c r="C141" s="301"/>
      <c r="D141" s="317">
        <f>IF(ISNUMBER(SEARCH(ZAKL_DATA!$B$14,E141)),MAX($D$2:D140)+1,0)</f>
        <v>139</v>
      </c>
      <c r="E141" s="330" t="s">
        <v>1441</v>
      </c>
      <c r="F141" s="331">
        <v>2912</v>
      </c>
      <c r="G141" s="332"/>
      <c r="H141" s="333" t="str">
        <f>IFERROR(VLOOKUP(ROWS($H$3:H141),$D$3:$E$204,2,0),"")</f>
        <v>TŘEBÍČ</v>
      </c>
      <c r="I141" s="301"/>
      <c r="J141" s="335" t="s">
        <v>1442</v>
      </c>
      <c r="K141" s="323" t="s">
        <v>1443</v>
      </c>
      <c r="M141" s="324">
        <f>IF(ISNUMBER(SEARCH(ZAKL_DATA!$B$29,N141)),MAX($M$2:M140)+1,0)</f>
        <v>139</v>
      </c>
      <c r="N141" s="325" t="s">
        <v>1444</v>
      </c>
      <c r="O141" s="340" t="s">
        <v>1445</v>
      </c>
      <c r="Q141" s="327" t="str">
        <f>IFERROR(VLOOKUP(ROWS($Q$3:Q141),$M$3:$N$992,2,0),"")</f>
        <v>Výroba ostatních textilií</v>
      </c>
      <c r="R141">
        <f>IF(ISNUMBER(SEARCH('1Př1'!$A$32,N141)),MAX($M$2:M140)+1,0)</f>
        <v>139</v>
      </c>
      <c r="S141" s="325" t="s">
        <v>1444</v>
      </c>
      <c r="T141" t="str">
        <f>IFERROR(VLOOKUP(ROWS($T$3:T141),$R$3:$S$992,2,0),"")</f>
        <v>Výroba ostatních textilií</v>
      </c>
      <c r="U141">
        <f>IF(ISNUMBER(SEARCH('1Př1'!$A$33,N141)),MAX($M$2:M140)+1,0)</f>
        <v>139</v>
      </c>
      <c r="V141" s="325" t="s">
        <v>1444</v>
      </c>
      <c r="W141" t="str">
        <f>IFERROR(VLOOKUP(ROWS($W$3:W141),$U$3:$V$992,2,0),"")</f>
        <v>Výroba ostatních textilií</v>
      </c>
      <c r="X141">
        <f>IF(ISNUMBER(SEARCH('1Př1'!$A$34,N141)),MAX($M$2:M140)+1,0)</f>
        <v>139</v>
      </c>
      <c r="Y141" s="325" t="s">
        <v>1444</v>
      </c>
      <c r="Z141" t="str">
        <f>IFERROR(VLOOKUP(ROWS($Z$3:Z141),$X$3:$Y$992,2,0),"")</f>
        <v>Výroba ostatních textilií</v>
      </c>
    </row>
    <row r="142" spans="1:26" ht="12.75" customHeight="1">
      <c r="A142" s="301"/>
      <c r="B142" s="301"/>
      <c r="C142" s="301"/>
      <c r="D142" s="317">
        <f>IF(ISNUMBER(SEARCH(ZAKL_DATA!$B$14,E142)),MAX($D$2:D141)+1,0)</f>
        <v>140</v>
      </c>
      <c r="E142" s="330" t="s">
        <v>1446</v>
      </c>
      <c r="F142" s="331">
        <v>2913</v>
      </c>
      <c r="G142" s="332"/>
      <c r="H142" s="333" t="str">
        <f>IFERROR(VLOOKUP(ROWS($H$3:H142),$D$3:$E$204,2,0),"")</f>
        <v>VELKÉ MEZIŘÍČÍ</v>
      </c>
      <c r="I142" s="301"/>
      <c r="J142" s="335" t="s">
        <v>1447</v>
      </c>
      <c r="K142" s="323" t="s">
        <v>1448</v>
      </c>
      <c r="M142" s="324">
        <f>IF(ISNUMBER(SEARCH(ZAKL_DATA!$B$29,N142)),MAX($M$2:M141)+1,0)</f>
        <v>140</v>
      </c>
      <c r="N142" s="325" t="s">
        <v>1449</v>
      </c>
      <c r="O142" s="340" t="s">
        <v>837</v>
      </c>
      <c r="Q142" s="327" t="str">
        <f>IFERROR(VLOOKUP(ROWS($Q$3:Q142),$M$3:$N$992,2,0),"")</f>
        <v>Pěstování cukrové třtiny</v>
      </c>
      <c r="R142">
        <f>IF(ISNUMBER(SEARCH('1Př1'!$A$32,N142)),MAX($M$2:M141)+1,0)</f>
        <v>140</v>
      </c>
      <c r="S142" s="325" t="s">
        <v>1449</v>
      </c>
      <c r="T142" t="str">
        <f>IFERROR(VLOOKUP(ROWS($T$3:T142),$R$3:$S$992,2,0),"")</f>
        <v>Pěstování cukrové třtiny</v>
      </c>
      <c r="U142">
        <f>IF(ISNUMBER(SEARCH('1Př1'!$A$33,N142)),MAX($M$2:M141)+1,0)</f>
        <v>140</v>
      </c>
      <c r="V142" s="325" t="s">
        <v>1449</v>
      </c>
      <c r="W142" t="str">
        <f>IFERROR(VLOOKUP(ROWS($W$3:W142),$U$3:$V$992,2,0),"")</f>
        <v>Pěstování cukrové třtiny</v>
      </c>
      <c r="X142">
        <f>IF(ISNUMBER(SEARCH('1Př1'!$A$34,N142)),MAX($M$2:M141)+1,0)</f>
        <v>140</v>
      </c>
      <c r="Y142" s="325" t="s">
        <v>1449</v>
      </c>
      <c r="Z142" t="str">
        <f>IFERROR(VLOOKUP(ROWS($Z$3:Z142),$X$3:$Y$992,2,0),"")</f>
        <v>Pěstování cukrové třtiny</v>
      </c>
    </row>
    <row r="143" spans="1:26" ht="12.75" customHeight="1">
      <c r="A143" s="301"/>
      <c r="B143" s="301"/>
      <c r="C143" s="301"/>
      <c r="D143" s="317">
        <f>IF(ISNUMBER(SEARCH(ZAKL_DATA!$B$14,E143)),MAX($D$2:D142)+1,0)</f>
        <v>141</v>
      </c>
      <c r="E143" s="330" t="s">
        <v>1450</v>
      </c>
      <c r="F143" s="331">
        <v>2914</v>
      </c>
      <c r="G143" s="332"/>
      <c r="H143" s="333" t="str">
        <f>IFERROR(VLOOKUP(ROWS($H$3:H143),$D$3:$E$204,2,0),"")</f>
        <v>ŽĎÁR NAD SÁZAVOU</v>
      </c>
      <c r="I143" s="301"/>
      <c r="J143" s="335" t="s">
        <v>1451</v>
      </c>
      <c r="K143" s="323" t="s">
        <v>1452</v>
      </c>
      <c r="M143" s="324">
        <f>IF(ISNUMBER(SEARCH(ZAKL_DATA!$B$29,N143)),MAX($M$2:M142)+1,0)</f>
        <v>141</v>
      </c>
      <c r="N143" s="325" t="s">
        <v>1453</v>
      </c>
      <c r="O143" s="340" t="s">
        <v>1454</v>
      </c>
      <c r="Q143" s="327" t="str">
        <f>IFERROR(VLOOKUP(ROWS($Q$3:Q143),$M$3:$N$992,2,0),"")</f>
        <v>Výroba oděvů, kromě kožešinových výrobků</v>
      </c>
      <c r="R143">
        <f>IF(ISNUMBER(SEARCH('1Př1'!$A$32,N143)),MAX($M$2:M142)+1,0)</f>
        <v>141</v>
      </c>
      <c r="S143" s="325" t="s">
        <v>1453</v>
      </c>
      <c r="T143" t="str">
        <f>IFERROR(VLOOKUP(ROWS($T$3:T143),$R$3:$S$992,2,0),"")</f>
        <v>Výroba oděvů, kromě kožešinových výrobků</v>
      </c>
      <c r="U143">
        <f>IF(ISNUMBER(SEARCH('1Př1'!$A$33,N143)),MAX($M$2:M142)+1,0)</f>
        <v>141</v>
      </c>
      <c r="V143" s="325" t="s">
        <v>1453</v>
      </c>
      <c r="W143" t="str">
        <f>IFERROR(VLOOKUP(ROWS($W$3:W143),$U$3:$V$992,2,0),"")</f>
        <v>Výroba oděvů, kromě kožešinových výrobků</v>
      </c>
      <c r="X143">
        <f>IF(ISNUMBER(SEARCH('1Př1'!$A$34,N143)),MAX($M$2:M142)+1,0)</f>
        <v>141</v>
      </c>
      <c r="Y143" s="325" t="s">
        <v>1453</v>
      </c>
      <c r="Z143" t="str">
        <f>IFERROR(VLOOKUP(ROWS($Z$3:Z143),$X$3:$Y$992,2,0),"")</f>
        <v>Výroba oděvů, kromě kožešinových výrobků</v>
      </c>
    </row>
    <row r="144" spans="1:26" ht="12.75" customHeight="1">
      <c r="A144" s="301"/>
      <c r="B144" s="301"/>
      <c r="C144" s="301"/>
      <c r="D144" s="317">
        <f>IF(ISNUMBER(SEARCH(ZAKL_DATA!$B$14,E144)),MAX($D$2:D143)+1,0)</f>
        <v>142</v>
      </c>
      <c r="E144" s="330" t="s">
        <v>1455</v>
      </c>
      <c r="F144" s="331">
        <v>3001</v>
      </c>
      <c r="G144" s="332"/>
      <c r="H144" s="333" t="str">
        <f>IFERROR(VLOOKUP(ROWS($H$3:H144),$D$3:$E$204,2,0),"")</f>
        <v>BRNO I</v>
      </c>
      <c r="I144" s="301"/>
      <c r="J144" s="335" t="s">
        <v>1456</v>
      </c>
      <c r="K144" s="323" t="s">
        <v>1457</v>
      </c>
      <c r="M144" s="324">
        <f>IF(ISNUMBER(SEARCH(ZAKL_DATA!$B$29,N144)),MAX($M$2:M143)+1,0)</f>
        <v>142</v>
      </c>
      <c r="N144" s="325" t="s">
        <v>1458</v>
      </c>
      <c r="O144" s="340" t="s">
        <v>1459</v>
      </c>
      <c r="Q144" s="327" t="str">
        <f>IFERROR(VLOOKUP(ROWS($Q$3:Q144),$M$3:$N$992,2,0),"")</f>
        <v>Chov mléčného skotu</v>
      </c>
      <c r="R144">
        <f>IF(ISNUMBER(SEARCH('1Př1'!$A$32,N144)),MAX($M$2:M143)+1,0)</f>
        <v>142</v>
      </c>
      <c r="S144" s="325" t="s">
        <v>1458</v>
      </c>
      <c r="T144" t="str">
        <f>IFERROR(VLOOKUP(ROWS($T$3:T144),$R$3:$S$992,2,0),"")</f>
        <v>Chov mléčného skotu</v>
      </c>
      <c r="U144">
        <f>IF(ISNUMBER(SEARCH('1Př1'!$A$33,N144)),MAX($M$2:M143)+1,0)</f>
        <v>142</v>
      </c>
      <c r="V144" s="325" t="s">
        <v>1458</v>
      </c>
      <c r="W144" t="str">
        <f>IFERROR(VLOOKUP(ROWS($W$3:W144),$U$3:$V$992,2,0),"")</f>
        <v>Chov mléčného skotu</v>
      </c>
      <c r="X144">
        <f>IF(ISNUMBER(SEARCH('1Př1'!$A$34,N144)),MAX($M$2:M143)+1,0)</f>
        <v>142</v>
      </c>
      <c r="Y144" s="325" t="s">
        <v>1458</v>
      </c>
      <c r="Z144" t="str">
        <f>IFERROR(VLOOKUP(ROWS($Z$3:Z144),$X$3:$Y$992,2,0),"")</f>
        <v>Chov mléčného skotu</v>
      </c>
    </row>
    <row r="145" spans="1:26" ht="12.75" customHeight="1">
      <c r="A145" s="301"/>
      <c r="B145" s="301"/>
      <c r="C145" s="301"/>
      <c r="D145" s="317">
        <f>IF(ISNUMBER(SEARCH(ZAKL_DATA!$B$14,E145)),MAX($D$2:D144)+1,0)</f>
        <v>143</v>
      </c>
      <c r="E145" s="330" t="s">
        <v>1460</v>
      </c>
      <c r="F145" s="331">
        <v>3002</v>
      </c>
      <c r="G145" s="332"/>
      <c r="H145" s="333" t="str">
        <f>IFERROR(VLOOKUP(ROWS($H$3:H145),$D$3:$E$204,2,0),"")</f>
        <v>BRNO II</v>
      </c>
      <c r="I145" s="301"/>
      <c r="J145" s="335" t="s">
        <v>1461</v>
      </c>
      <c r="K145" s="323" t="s">
        <v>1462</v>
      </c>
      <c r="M145" s="324">
        <f>IF(ISNUMBER(SEARCH(ZAKL_DATA!$B$29,N145)),MAX($M$2:M144)+1,0)</f>
        <v>143</v>
      </c>
      <c r="N145" s="325" t="s">
        <v>1463</v>
      </c>
      <c r="O145" s="340" t="s">
        <v>1464</v>
      </c>
      <c r="Q145" s="327" t="str">
        <f>IFERROR(VLOOKUP(ROWS($Q$3:Q145),$M$3:$N$992,2,0),"")</f>
        <v>Výroba kožešinových výrobků</v>
      </c>
      <c r="R145">
        <f>IF(ISNUMBER(SEARCH('1Př1'!$A$32,N145)),MAX($M$2:M144)+1,0)</f>
        <v>143</v>
      </c>
      <c r="S145" s="325" t="s">
        <v>1463</v>
      </c>
      <c r="T145" t="str">
        <f>IFERROR(VLOOKUP(ROWS($T$3:T145),$R$3:$S$992,2,0),"")</f>
        <v>Výroba kožešinových výrobků</v>
      </c>
      <c r="U145">
        <f>IF(ISNUMBER(SEARCH('1Př1'!$A$33,N145)),MAX($M$2:M144)+1,0)</f>
        <v>143</v>
      </c>
      <c r="V145" s="325" t="s">
        <v>1463</v>
      </c>
      <c r="W145" t="str">
        <f>IFERROR(VLOOKUP(ROWS($W$3:W145),$U$3:$V$992,2,0),"")</f>
        <v>Výroba kožešinových výrobků</v>
      </c>
      <c r="X145">
        <f>IF(ISNUMBER(SEARCH('1Př1'!$A$34,N145)),MAX($M$2:M144)+1,0)</f>
        <v>143</v>
      </c>
      <c r="Y145" s="325" t="s">
        <v>1463</v>
      </c>
      <c r="Z145" t="str">
        <f>IFERROR(VLOOKUP(ROWS($Z$3:Z145),$X$3:$Y$992,2,0),"")</f>
        <v>Výroba kožešinových výrobků</v>
      </c>
    </row>
    <row r="146" spans="1:26" ht="12.75" customHeight="1">
      <c r="A146" s="301"/>
      <c r="B146" s="301"/>
      <c r="C146" s="301"/>
      <c r="D146" s="317">
        <f>IF(ISNUMBER(SEARCH(ZAKL_DATA!$B$14,E146)),MAX($D$2:D145)+1,0)</f>
        <v>144</v>
      </c>
      <c r="E146" s="330" t="s">
        <v>1465</v>
      </c>
      <c r="F146" s="331">
        <v>3003</v>
      </c>
      <c r="G146" s="332"/>
      <c r="H146" s="333" t="str">
        <f>IFERROR(VLOOKUP(ROWS($H$3:H146),$D$3:$E$204,2,0),"")</f>
        <v>BRNO III</v>
      </c>
      <c r="I146" s="301"/>
      <c r="J146" s="335" t="s">
        <v>1466</v>
      </c>
      <c r="K146" s="323" t="s">
        <v>1467</v>
      </c>
      <c r="M146" s="324">
        <f>IF(ISNUMBER(SEARCH(ZAKL_DATA!$B$29,N146)),MAX($M$2:M145)+1,0)</f>
        <v>144</v>
      </c>
      <c r="N146" s="325" t="s">
        <v>1468</v>
      </c>
      <c r="O146" s="340" t="s">
        <v>1469</v>
      </c>
      <c r="Q146" s="327" t="str">
        <f>IFERROR(VLOOKUP(ROWS($Q$3:Q146),$M$3:$N$992,2,0),"")</f>
        <v>Chov jiného skotu</v>
      </c>
      <c r="R146">
        <f>IF(ISNUMBER(SEARCH('1Př1'!$A$32,N146)),MAX($M$2:M145)+1,0)</f>
        <v>144</v>
      </c>
      <c r="S146" s="325" t="s">
        <v>1468</v>
      </c>
      <c r="T146" t="str">
        <f>IFERROR(VLOOKUP(ROWS($T$3:T146),$R$3:$S$992,2,0),"")</f>
        <v>Chov jiného skotu</v>
      </c>
      <c r="U146">
        <f>IF(ISNUMBER(SEARCH('1Př1'!$A$33,N146)),MAX($M$2:M145)+1,0)</f>
        <v>144</v>
      </c>
      <c r="V146" s="325" t="s">
        <v>1468</v>
      </c>
      <c r="W146" t="str">
        <f>IFERROR(VLOOKUP(ROWS($W$3:W146),$U$3:$V$992,2,0),"")</f>
        <v>Chov jiného skotu</v>
      </c>
      <c r="X146">
        <f>IF(ISNUMBER(SEARCH('1Př1'!$A$34,N146)),MAX($M$2:M145)+1,0)</f>
        <v>144</v>
      </c>
      <c r="Y146" s="325" t="s">
        <v>1468</v>
      </c>
      <c r="Z146" t="str">
        <f>IFERROR(VLOOKUP(ROWS($Z$3:Z146),$X$3:$Y$992,2,0),"")</f>
        <v>Chov jiného skotu</v>
      </c>
    </row>
    <row r="147" spans="1:26" ht="12.75" customHeight="1">
      <c r="A147" s="301"/>
      <c r="B147" s="301"/>
      <c r="C147" s="301"/>
      <c r="D147" s="317">
        <f>IF(ISNUMBER(SEARCH(ZAKL_DATA!$B$14,E147)),MAX($D$2:D146)+1,0)</f>
        <v>145</v>
      </c>
      <c r="E147" s="330" t="s">
        <v>1470</v>
      </c>
      <c r="F147" s="331">
        <v>3004</v>
      </c>
      <c r="G147" s="332"/>
      <c r="H147" s="333" t="str">
        <f>IFERROR(VLOOKUP(ROWS($H$3:H147),$D$3:$E$204,2,0),"")</f>
        <v>BRNO IV</v>
      </c>
      <c r="I147" s="301"/>
      <c r="J147" s="335" t="s">
        <v>1471</v>
      </c>
      <c r="K147" s="323" t="s">
        <v>1472</v>
      </c>
      <c r="M147" s="324">
        <f>IF(ISNUMBER(SEARCH(ZAKL_DATA!$B$29,N147)),MAX($M$2:M146)+1,0)</f>
        <v>145</v>
      </c>
      <c r="N147" s="325" t="s">
        <v>1473</v>
      </c>
      <c r="O147" s="326" t="s">
        <v>1474</v>
      </c>
      <c r="Q147" s="327" t="str">
        <f>IFERROR(VLOOKUP(ROWS($Q$3:Q147),$M$3:$N$992,2,0),"")</f>
        <v>Výroba pletených a háčkovaných oděvů</v>
      </c>
      <c r="R147">
        <f>IF(ISNUMBER(SEARCH('1Př1'!$A$32,N147)),MAX($M$2:M146)+1,0)</f>
        <v>145</v>
      </c>
      <c r="S147" s="325" t="s">
        <v>1473</v>
      </c>
      <c r="T147" t="str">
        <f>IFERROR(VLOOKUP(ROWS($T$3:T147),$R$3:$S$992,2,0),"")</f>
        <v>Výroba pletených a háčkovaných oděvů</v>
      </c>
      <c r="U147">
        <f>IF(ISNUMBER(SEARCH('1Př1'!$A$33,N147)),MAX($M$2:M146)+1,0)</f>
        <v>145</v>
      </c>
      <c r="V147" s="325" t="s">
        <v>1473</v>
      </c>
      <c r="W147" t="str">
        <f>IFERROR(VLOOKUP(ROWS($W$3:W147),$U$3:$V$992,2,0),"")</f>
        <v>Výroba pletených a háčkovaných oděvů</v>
      </c>
      <c r="X147">
        <f>IF(ISNUMBER(SEARCH('1Př1'!$A$34,N147)),MAX($M$2:M146)+1,0)</f>
        <v>145</v>
      </c>
      <c r="Y147" s="325" t="s">
        <v>1473</v>
      </c>
      <c r="Z147" t="str">
        <f>IFERROR(VLOOKUP(ROWS($Z$3:Z147),$X$3:$Y$992,2,0),"")</f>
        <v>Výroba pletených a háčkovaných oděvů</v>
      </c>
    </row>
    <row r="148" spans="1:26" ht="12.75" customHeight="1">
      <c r="A148" s="301"/>
      <c r="B148" s="301"/>
      <c r="C148" s="301"/>
      <c r="D148" s="317">
        <f>IF(ISNUMBER(SEARCH(ZAKL_DATA!$B$14,E148)),MAX($D$2:D147)+1,0)</f>
        <v>146</v>
      </c>
      <c r="E148" s="330" t="s">
        <v>1475</v>
      </c>
      <c r="F148" s="331">
        <v>3005</v>
      </c>
      <c r="G148" s="332"/>
      <c r="H148" s="333" t="str">
        <f>IFERROR(VLOOKUP(ROWS($H$3:H148),$D$3:$E$204,2,0),"")</f>
        <v>BRNO VENKOV</v>
      </c>
      <c r="I148" s="301"/>
      <c r="J148" s="335" t="s">
        <v>1476</v>
      </c>
      <c r="K148" s="323" t="s">
        <v>1477</v>
      </c>
      <c r="M148" s="324">
        <f>IF(ISNUMBER(SEARCH(ZAKL_DATA!$B$29,N148)),MAX($M$2:M147)+1,0)</f>
        <v>146</v>
      </c>
      <c r="N148" s="325" t="s">
        <v>1478</v>
      </c>
      <c r="O148" s="340" t="s">
        <v>1479</v>
      </c>
      <c r="Q148" s="327" t="str">
        <f>IFERROR(VLOOKUP(ROWS($Q$3:Q148),$M$3:$N$992,2,0),"")</f>
        <v>Chov koní a jiných koňovitých</v>
      </c>
      <c r="R148">
        <f>IF(ISNUMBER(SEARCH('1Př1'!$A$32,N148)),MAX($M$2:M147)+1,0)</f>
        <v>146</v>
      </c>
      <c r="S148" s="325" t="s">
        <v>1478</v>
      </c>
      <c r="T148" t="str">
        <f>IFERROR(VLOOKUP(ROWS($T$3:T148),$R$3:$S$992,2,0),"")</f>
        <v>Chov koní a jiných koňovitých</v>
      </c>
      <c r="U148">
        <f>IF(ISNUMBER(SEARCH('1Př1'!$A$33,N148)),MAX($M$2:M147)+1,0)</f>
        <v>146</v>
      </c>
      <c r="V148" s="325" t="s">
        <v>1478</v>
      </c>
      <c r="W148" t="str">
        <f>IFERROR(VLOOKUP(ROWS($W$3:W148),$U$3:$V$992,2,0),"")</f>
        <v>Chov koní a jiných koňovitých</v>
      </c>
      <c r="X148">
        <f>IF(ISNUMBER(SEARCH('1Př1'!$A$34,N148)),MAX($M$2:M147)+1,0)</f>
        <v>146</v>
      </c>
      <c r="Y148" s="325" t="s">
        <v>1478</v>
      </c>
      <c r="Z148" t="str">
        <f>IFERROR(VLOOKUP(ROWS($Z$3:Z148),$X$3:$Y$992,2,0),"")</f>
        <v>Chov koní a jiných koňovitých</v>
      </c>
    </row>
    <row r="149" spans="1:26" ht="12.75" customHeight="1">
      <c r="A149" s="301"/>
      <c r="B149" s="301"/>
      <c r="C149" s="301"/>
      <c r="D149" s="317">
        <f>IF(ISNUMBER(SEARCH(ZAKL_DATA!$B$14,E149)),MAX($D$2:D148)+1,0)</f>
        <v>147</v>
      </c>
      <c r="E149" s="330" t="s">
        <v>1480</v>
      </c>
      <c r="F149" s="331">
        <v>3006</v>
      </c>
      <c r="G149" s="332"/>
      <c r="H149" s="333" t="str">
        <f>IFERROR(VLOOKUP(ROWS($H$3:H149),$D$3:$E$204,2,0),"")</f>
        <v>BLANSKO</v>
      </c>
      <c r="I149" s="301"/>
      <c r="J149" s="335" t="s">
        <v>1481</v>
      </c>
      <c r="K149" s="323" t="s">
        <v>1482</v>
      </c>
      <c r="M149" s="324">
        <f>IF(ISNUMBER(SEARCH(ZAKL_DATA!$B$29,N149)),MAX($M$2:M148)+1,0)</f>
        <v>147</v>
      </c>
      <c r="N149" s="325" t="s">
        <v>1483</v>
      </c>
      <c r="O149" s="340" t="s">
        <v>1484</v>
      </c>
      <c r="Q149" s="327" t="str">
        <f>IFERROR(VLOOKUP(ROWS($Q$3:Q149),$M$3:$N$992,2,0),"")</f>
        <v>Chov velbloudů a velbloudovitých</v>
      </c>
      <c r="R149">
        <f>IF(ISNUMBER(SEARCH('1Př1'!$A$32,N149)),MAX($M$2:M148)+1,0)</f>
        <v>147</v>
      </c>
      <c r="S149" s="325" t="s">
        <v>1483</v>
      </c>
      <c r="T149" t="str">
        <f>IFERROR(VLOOKUP(ROWS($T$3:T149),$R$3:$S$992,2,0),"")</f>
        <v>Chov velbloudů a velbloudovitých</v>
      </c>
      <c r="U149">
        <f>IF(ISNUMBER(SEARCH('1Př1'!$A$33,N149)),MAX($M$2:M148)+1,0)</f>
        <v>147</v>
      </c>
      <c r="V149" s="325" t="s">
        <v>1483</v>
      </c>
      <c r="W149" t="str">
        <f>IFERROR(VLOOKUP(ROWS($W$3:W149),$U$3:$V$992,2,0),"")</f>
        <v>Chov velbloudů a velbloudovitých</v>
      </c>
      <c r="X149">
        <f>IF(ISNUMBER(SEARCH('1Př1'!$A$34,N149)),MAX($M$2:M148)+1,0)</f>
        <v>147</v>
      </c>
      <c r="Y149" s="325" t="s">
        <v>1483</v>
      </c>
      <c r="Z149" t="str">
        <f>IFERROR(VLOOKUP(ROWS($Z$3:Z149),$X$3:$Y$992,2,0),"")</f>
        <v>Chov velbloudů a velbloudovitých</v>
      </c>
    </row>
    <row r="150" spans="1:26" ht="12.75" customHeight="1">
      <c r="A150" s="301"/>
      <c r="B150" s="301"/>
      <c r="C150" s="301"/>
      <c r="D150" s="317">
        <f>IF(ISNUMBER(SEARCH(ZAKL_DATA!$B$14,E150)),MAX($D$2:D149)+1,0)</f>
        <v>148</v>
      </c>
      <c r="E150" s="330" t="s">
        <v>1485</v>
      </c>
      <c r="F150" s="331">
        <v>3007</v>
      </c>
      <c r="G150" s="332"/>
      <c r="H150" s="333" t="str">
        <f>IFERROR(VLOOKUP(ROWS($H$3:H150),$D$3:$E$204,2,0),"")</f>
        <v>BOSKOVICE</v>
      </c>
      <c r="I150" s="301"/>
      <c r="J150" s="335" t="s">
        <v>1486</v>
      </c>
      <c r="K150" s="323" t="s">
        <v>1487</v>
      </c>
      <c r="M150" s="324">
        <f>IF(ISNUMBER(SEARCH(ZAKL_DATA!$B$29,N150)),MAX($M$2:M149)+1,0)</f>
        <v>148</v>
      </c>
      <c r="N150" s="325" t="s">
        <v>1488</v>
      </c>
      <c r="O150" s="340" t="s">
        <v>1489</v>
      </c>
      <c r="Q150" s="327" t="str">
        <f>IFERROR(VLOOKUP(ROWS($Q$3:Q150),$M$3:$N$992,2,0),"")</f>
        <v>Chov ovcí a koz</v>
      </c>
      <c r="R150">
        <f>IF(ISNUMBER(SEARCH('1Př1'!$A$32,N150)),MAX($M$2:M149)+1,0)</f>
        <v>148</v>
      </c>
      <c r="S150" s="325" t="s">
        <v>1488</v>
      </c>
      <c r="T150" t="str">
        <f>IFERROR(VLOOKUP(ROWS($T$3:T150),$R$3:$S$992,2,0),"")</f>
        <v>Chov ovcí a koz</v>
      </c>
      <c r="U150">
        <f>IF(ISNUMBER(SEARCH('1Př1'!$A$33,N150)),MAX($M$2:M149)+1,0)</f>
        <v>148</v>
      </c>
      <c r="V150" s="325" t="s">
        <v>1488</v>
      </c>
      <c r="W150" t="str">
        <f>IFERROR(VLOOKUP(ROWS($W$3:W150),$U$3:$V$992,2,0),"")</f>
        <v>Chov ovcí a koz</v>
      </c>
      <c r="X150">
        <f>IF(ISNUMBER(SEARCH('1Př1'!$A$34,N150)),MAX($M$2:M149)+1,0)</f>
        <v>148</v>
      </c>
      <c r="Y150" s="325" t="s">
        <v>1488</v>
      </c>
      <c r="Z150" t="str">
        <f>IFERROR(VLOOKUP(ROWS($Z$3:Z150),$X$3:$Y$992,2,0),"")</f>
        <v>Chov ovcí a koz</v>
      </c>
    </row>
    <row r="151" spans="1:26" ht="12.75" customHeight="1">
      <c r="A151" s="301"/>
      <c r="B151" s="301"/>
      <c r="C151" s="301"/>
      <c r="D151" s="317">
        <f>IF(ISNUMBER(SEARCH(ZAKL_DATA!$B$14,E151)),MAX($D$2:D150)+1,0)</f>
        <v>149</v>
      </c>
      <c r="E151" s="330" t="s">
        <v>1490</v>
      </c>
      <c r="F151" s="331">
        <v>3008</v>
      </c>
      <c r="G151" s="332"/>
      <c r="H151" s="333" t="str">
        <f>IFERROR(VLOOKUP(ROWS($H$3:H151),$D$3:$E$204,2,0),"")</f>
        <v>BŘECLAV</v>
      </c>
      <c r="I151" s="301"/>
      <c r="J151" s="335" t="s">
        <v>1491</v>
      </c>
      <c r="K151" s="323" t="s">
        <v>1492</v>
      </c>
      <c r="M151" s="324">
        <f>IF(ISNUMBER(SEARCH(ZAKL_DATA!$B$29,N151)),MAX($M$2:M150)+1,0)</f>
        <v>149</v>
      </c>
      <c r="N151" s="325" t="s">
        <v>1493</v>
      </c>
      <c r="O151" s="340" t="s">
        <v>1494</v>
      </c>
      <c r="Q151" s="327" t="str">
        <f>IFERROR(VLOOKUP(ROWS($Q$3:Q151),$M$3:$N$992,2,0),"")</f>
        <v>Chov prasat</v>
      </c>
      <c r="R151">
        <f>IF(ISNUMBER(SEARCH('1Př1'!$A$32,N151)),MAX($M$2:M150)+1,0)</f>
        <v>149</v>
      </c>
      <c r="S151" s="325" t="s">
        <v>1493</v>
      </c>
      <c r="T151" t="str">
        <f>IFERROR(VLOOKUP(ROWS($T$3:T151),$R$3:$S$992,2,0),"")</f>
        <v>Chov prasat</v>
      </c>
      <c r="U151">
        <f>IF(ISNUMBER(SEARCH('1Př1'!$A$33,N151)),MAX($M$2:M150)+1,0)</f>
        <v>149</v>
      </c>
      <c r="V151" s="325" t="s">
        <v>1493</v>
      </c>
      <c r="W151" t="str">
        <f>IFERROR(VLOOKUP(ROWS($W$3:W151),$U$3:$V$992,2,0),"")</f>
        <v>Chov prasat</v>
      </c>
      <c r="X151">
        <f>IF(ISNUMBER(SEARCH('1Př1'!$A$34,N151)),MAX($M$2:M150)+1,0)</f>
        <v>149</v>
      </c>
      <c r="Y151" s="325" t="s">
        <v>1493</v>
      </c>
      <c r="Z151" t="str">
        <f>IFERROR(VLOOKUP(ROWS($Z$3:Z151),$X$3:$Y$992,2,0),"")</f>
        <v>Chov prasat</v>
      </c>
    </row>
    <row r="152" spans="1:26" ht="12.75" customHeight="1">
      <c r="A152" s="301"/>
      <c r="B152" s="301"/>
      <c r="C152" s="301"/>
      <c r="D152" s="317">
        <f>IF(ISNUMBER(SEARCH(ZAKL_DATA!$B$14,E152)),MAX($D$2:D151)+1,0)</f>
        <v>150</v>
      </c>
      <c r="E152" s="330" t="s">
        <v>1495</v>
      </c>
      <c r="F152" s="331">
        <v>3009</v>
      </c>
      <c r="G152" s="332"/>
      <c r="H152" s="333" t="str">
        <f>IFERROR(VLOOKUP(ROWS($H$3:H152),$D$3:$E$204,2,0),"")</f>
        <v>BUČOVICE</v>
      </c>
      <c r="I152" s="301"/>
      <c r="J152" s="335" t="s">
        <v>1496</v>
      </c>
      <c r="K152" s="323" t="s">
        <v>1497</v>
      </c>
      <c r="M152" s="324">
        <f>IF(ISNUMBER(SEARCH(ZAKL_DATA!$B$29,N152)),MAX($M$2:M151)+1,0)</f>
        <v>150</v>
      </c>
      <c r="N152" s="325" t="s">
        <v>1498</v>
      </c>
      <c r="O152" s="340" t="s">
        <v>1499</v>
      </c>
      <c r="Q152" s="327" t="str">
        <f>IFERROR(VLOOKUP(ROWS($Q$3:Q152),$M$3:$N$992,2,0),"")</f>
        <v>Chov drůbeže</v>
      </c>
      <c r="R152">
        <f>IF(ISNUMBER(SEARCH('1Př1'!$A$32,N152)),MAX($M$2:M151)+1,0)</f>
        <v>150</v>
      </c>
      <c r="S152" s="325" t="s">
        <v>1498</v>
      </c>
      <c r="T152" t="str">
        <f>IFERROR(VLOOKUP(ROWS($T$3:T152),$R$3:$S$992,2,0),"")</f>
        <v>Chov drůbeže</v>
      </c>
      <c r="U152">
        <f>IF(ISNUMBER(SEARCH('1Př1'!$A$33,N152)),MAX($M$2:M151)+1,0)</f>
        <v>150</v>
      </c>
      <c r="V152" s="325" t="s">
        <v>1498</v>
      </c>
      <c r="W152" t="str">
        <f>IFERROR(VLOOKUP(ROWS($W$3:W152),$U$3:$V$992,2,0),"")</f>
        <v>Chov drůbeže</v>
      </c>
      <c r="X152">
        <f>IF(ISNUMBER(SEARCH('1Př1'!$A$34,N152)),MAX($M$2:M151)+1,0)</f>
        <v>150</v>
      </c>
      <c r="Y152" s="325" t="s">
        <v>1498</v>
      </c>
      <c r="Z152" t="str">
        <f>IFERROR(VLOOKUP(ROWS($Z$3:Z152),$X$3:$Y$992,2,0),"")</f>
        <v>Chov drůbeže</v>
      </c>
    </row>
    <row r="153" spans="1:26" ht="12.75" customHeight="1">
      <c r="A153" s="301"/>
      <c r="B153" s="301"/>
      <c r="C153" s="301"/>
      <c r="D153" s="317">
        <f>IF(ISNUMBER(SEARCH(ZAKL_DATA!$B$14,E153)),MAX($D$2:D152)+1,0)</f>
        <v>151</v>
      </c>
      <c r="E153" s="330" t="s">
        <v>1500</v>
      </c>
      <c r="F153" s="331">
        <v>3010</v>
      </c>
      <c r="G153" s="332"/>
      <c r="H153" s="333" t="str">
        <f>IFERROR(VLOOKUP(ROWS($H$3:H153),$D$3:$E$204,2,0),"")</f>
        <v>HODONÍN</v>
      </c>
      <c r="I153" s="301"/>
      <c r="J153" s="335" t="s">
        <v>1501</v>
      </c>
      <c r="K153" s="323" t="s">
        <v>1502</v>
      </c>
      <c r="M153" s="324">
        <f>IF(ISNUMBER(SEARCH(ZAKL_DATA!$B$29,N153)),MAX($M$2:M152)+1,0)</f>
        <v>151</v>
      </c>
      <c r="N153" s="325" t="s">
        <v>1503</v>
      </c>
      <c r="O153" s="340" t="s">
        <v>1504</v>
      </c>
      <c r="Q153" s="327" t="str">
        <f>IFERROR(VLOOKUP(ROWS($Q$3:Q153),$M$3:$N$992,2,0),"")</f>
        <v>Chov ostatních zvířat</v>
      </c>
      <c r="R153">
        <f>IF(ISNUMBER(SEARCH('1Př1'!$A$32,N153)),MAX($M$2:M152)+1,0)</f>
        <v>151</v>
      </c>
      <c r="S153" s="325" t="s">
        <v>1503</v>
      </c>
      <c r="T153" t="str">
        <f>IFERROR(VLOOKUP(ROWS($T$3:T153),$R$3:$S$992,2,0),"")</f>
        <v>Chov ostatních zvířat</v>
      </c>
      <c r="U153">
        <f>IF(ISNUMBER(SEARCH('1Př1'!$A$33,N153)),MAX($M$2:M152)+1,0)</f>
        <v>151</v>
      </c>
      <c r="V153" s="325" t="s">
        <v>1503</v>
      </c>
      <c r="W153" t="str">
        <f>IFERROR(VLOOKUP(ROWS($W$3:W153),$U$3:$V$992,2,0),"")</f>
        <v>Chov ostatních zvířat</v>
      </c>
      <c r="X153">
        <f>IF(ISNUMBER(SEARCH('1Př1'!$A$34,N153)),MAX($M$2:M152)+1,0)</f>
        <v>151</v>
      </c>
      <c r="Y153" s="325" t="s">
        <v>1503</v>
      </c>
      <c r="Z153" t="str">
        <f>IFERROR(VLOOKUP(ROWS($Z$3:Z153),$X$3:$Y$992,2,0),"")</f>
        <v>Chov ostatních zvířat</v>
      </c>
    </row>
    <row r="154" spans="1:26" ht="12.75" customHeight="1">
      <c r="A154" s="301"/>
      <c r="B154" s="301"/>
      <c r="C154" s="301"/>
      <c r="D154" s="317">
        <f>IF(ISNUMBER(SEARCH(ZAKL_DATA!$B$14,E154)),MAX($D$2:D153)+1,0)</f>
        <v>152</v>
      </c>
      <c r="E154" s="330" t="s">
        <v>1505</v>
      </c>
      <c r="F154" s="331">
        <v>3011</v>
      </c>
      <c r="G154" s="332"/>
      <c r="H154" s="333" t="str">
        <f>IFERROR(VLOOKUP(ROWS($H$3:H154),$D$3:$E$204,2,0),"")</f>
        <v>HUSTOPEČE</v>
      </c>
      <c r="I154" s="301"/>
      <c r="J154" s="335" t="s">
        <v>1506</v>
      </c>
      <c r="K154" s="323" t="s">
        <v>1507</v>
      </c>
      <c r="M154" s="324">
        <f>IF(ISNUMBER(SEARCH(ZAKL_DATA!$B$29,N154)),MAX($M$2:M153)+1,0)</f>
        <v>152</v>
      </c>
      <c r="N154" s="325" t="s">
        <v>1508</v>
      </c>
      <c r="O154" s="340" t="s">
        <v>1509</v>
      </c>
      <c r="Q154" s="327" t="str">
        <f>IFERROR(VLOOKUP(ROWS($Q$3:Q154),$M$3:$N$992,2,0),"")</f>
        <v>Činění a úprava usní (vyčiněných kůží); zpracování a barvení kožešin; výrob</v>
      </c>
      <c r="R154">
        <f>IF(ISNUMBER(SEARCH('1Př1'!$A$32,N154)),MAX($M$2:M153)+1,0)</f>
        <v>152</v>
      </c>
      <c r="S154" s="325" t="s">
        <v>1508</v>
      </c>
      <c r="T154" t="str">
        <f>IFERROR(VLOOKUP(ROWS($T$3:T154),$R$3:$S$992,2,0),"")</f>
        <v>Činění a úprava usní (vyčiněných kůží); zpracování a barvení kožešin; výrob</v>
      </c>
      <c r="U154">
        <f>IF(ISNUMBER(SEARCH('1Př1'!$A$33,N154)),MAX($M$2:M153)+1,0)</f>
        <v>152</v>
      </c>
      <c r="V154" s="325" t="s">
        <v>1508</v>
      </c>
      <c r="W154" t="str">
        <f>IFERROR(VLOOKUP(ROWS($W$3:W154),$U$3:$V$992,2,0),"")</f>
        <v>Činění a úprava usní (vyčiněných kůží); zpracování a barvení kožešin; výrob</v>
      </c>
      <c r="X154">
        <f>IF(ISNUMBER(SEARCH('1Př1'!$A$34,N154)),MAX($M$2:M153)+1,0)</f>
        <v>152</v>
      </c>
      <c r="Y154" s="325" t="s">
        <v>1508</v>
      </c>
      <c r="Z154" t="str">
        <f>IFERROR(VLOOKUP(ROWS($Z$3:Z154),$X$3:$Y$992,2,0),"")</f>
        <v>Činění a úprava usní (vyčiněných kůží); zpracování a barvení kožešin; výrob</v>
      </c>
    </row>
    <row r="155" spans="1:26" ht="12.75" customHeight="1">
      <c r="A155" s="301"/>
      <c r="B155" s="301"/>
      <c r="C155" s="301"/>
      <c r="D155" s="317">
        <f>IF(ISNUMBER(SEARCH(ZAKL_DATA!$B$14,E155)),MAX($D$2:D154)+1,0)</f>
        <v>153</v>
      </c>
      <c r="E155" s="330" t="s">
        <v>1510</v>
      </c>
      <c r="F155" s="331">
        <v>3012</v>
      </c>
      <c r="G155" s="332"/>
      <c r="H155" s="333" t="str">
        <f>IFERROR(VLOOKUP(ROWS($H$3:H155),$D$3:$E$204,2,0),"")</f>
        <v>IVANČICE</v>
      </c>
      <c r="I155" s="301"/>
      <c r="J155" s="335" t="s">
        <v>1511</v>
      </c>
      <c r="K155" s="323" t="s">
        <v>1512</v>
      </c>
      <c r="M155" s="324">
        <f>IF(ISNUMBER(SEARCH(ZAKL_DATA!$B$29,N155)),MAX($M$2:M154)+1,0)</f>
        <v>153</v>
      </c>
      <c r="N155" s="325" t="s">
        <v>1513</v>
      </c>
      <c r="O155" s="340" t="s">
        <v>1514</v>
      </c>
      <c r="Q155" s="327" t="str">
        <f>IFERROR(VLOOKUP(ROWS($Q$3:Q155),$M$3:$N$992,2,0),"")</f>
        <v>Výroba obuvi</v>
      </c>
      <c r="R155">
        <f>IF(ISNUMBER(SEARCH('1Př1'!$A$32,N155)),MAX($M$2:M154)+1,0)</f>
        <v>153</v>
      </c>
      <c r="S155" s="325" t="s">
        <v>1513</v>
      </c>
      <c r="T155" t="str">
        <f>IFERROR(VLOOKUP(ROWS($T$3:T155),$R$3:$S$992,2,0),"")</f>
        <v>Výroba obuvi</v>
      </c>
      <c r="U155">
        <f>IF(ISNUMBER(SEARCH('1Př1'!$A$33,N155)),MAX($M$2:M154)+1,0)</f>
        <v>153</v>
      </c>
      <c r="V155" s="325" t="s">
        <v>1513</v>
      </c>
      <c r="W155" t="str">
        <f>IFERROR(VLOOKUP(ROWS($W$3:W155),$U$3:$V$992,2,0),"")</f>
        <v>Výroba obuvi</v>
      </c>
      <c r="X155">
        <f>IF(ISNUMBER(SEARCH('1Př1'!$A$34,N155)),MAX($M$2:M154)+1,0)</f>
        <v>153</v>
      </c>
      <c r="Y155" s="325" t="s">
        <v>1513</v>
      </c>
      <c r="Z155" t="str">
        <f>IFERROR(VLOOKUP(ROWS($Z$3:Z155),$X$3:$Y$992,2,0),"")</f>
        <v>Výroba obuvi</v>
      </c>
    </row>
    <row r="156" spans="1:26" ht="12.75" customHeight="1">
      <c r="A156" s="301"/>
      <c r="B156" s="301"/>
      <c r="C156" s="301"/>
      <c r="D156" s="317">
        <f>IF(ISNUMBER(SEARCH(ZAKL_DATA!$B$14,E156)),MAX($D$2:D155)+1,0)</f>
        <v>154</v>
      </c>
      <c r="E156" s="330" t="s">
        <v>1515</v>
      </c>
      <c r="F156" s="331">
        <v>3013</v>
      </c>
      <c r="G156" s="332"/>
      <c r="H156" s="333" t="str">
        <f>IFERROR(VLOOKUP(ROWS($H$3:H156),$D$3:$E$204,2,0),"")</f>
        <v>KYJOV</v>
      </c>
      <c r="I156" s="301"/>
      <c r="J156" s="335" t="s">
        <v>1516</v>
      </c>
      <c r="K156" s="323" t="s">
        <v>1517</v>
      </c>
      <c r="M156" s="324">
        <f>IF(ISNUMBER(SEARCH(ZAKL_DATA!$B$29,N156)),MAX($M$2:M155)+1,0)</f>
        <v>154</v>
      </c>
      <c r="N156" s="325" t="s">
        <v>1518</v>
      </c>
      <c r="O156" s="340" t="s">
        <v>1519</v>
      </c>
      <c r="Q156" s="327" t="str">
        <f>IFERROR(VLOOKUP(ROWS($Q$3:Q156),$M$3:$N$992,2,0),"")</f>
        <v>Výroba pilařská a impregnace dřeva</v>
      </c>
      <c r="R156">
        <f>IF(ISNUMBER(SEARCH('1Př1'!$A$32,N156)),MAX($M$2:M155)+1,0)</f>
        <v>154</v>
      </c>
      <c r="S156" s="325" t="s">
        <v>1518</v>
      </c>
      <c r="T156" t="str">
        <f>IFERROR(VLOOKUP(ROWS($T$3:T156),$R$3:$S$992,2,0),"")</f>
        <v>Výroba pilařská a impregnace dřeva</v>
      </c>
      <c r="U156">
        <f>IF(ISNUMBER(SEARCH('1Př1'!$A$33,N156)),MAX($M$2:M155)+1,0)</f>
        <v>154</v>
      </c>
      <c r="V156" s="325" t="s">
        <v>1518</v>
      </c>
      <c r="W156" t="str">
        <f>IFERROR(VLOOKUP(ROWS($W$3:W156),$U$3:$V$992,2,0),"")</f>
        <v>Výroba pilařská a impregnace dřeva</v>
      </c>
      <c r="X156">
        <f>IF(ISNUMBER(SEARCH('1Př1'!$A$34,N156)),MAX($M$2:M155)+1,0)</f>
        <v>154</v>
      </c>
      <c r="Y156" s="325" t="s">
        <v>1518</v>
      </c>
      <c r="Z156" t="str">
        <f>IFERROR(VLOOKUP(ROWS($Z$3:Z156),$X$3:$Y$992,2,0),"")</f>
        <v>Výroba pilařská a impregnace dřeva</v>
      </c>
    </row>
    <row r="157" spans="1:26" ht="12.75" customHeight="1">
      <c r="A157" s="301"/>
      <c r="B157" s="301"/>
      <c r="C157" s="301"/>
      <c r="D157" s="317">
        <f>IF(ISNUMBER(SEARCH(ZAKL_DATA!$B$14,E157)),MAX($D$2:D156)+1,0)</f>
        <v>155</v>
      </c>
      <c r="E157" s="330" t="s">
        <v>1520</v>
      </c>
      <c r="F157" s="331">
        <v>3014</v>
      </c>
      <c r="G157" s="332"/>
      <c r="H157" s="333" t="str">
        <f>IFERROR(VLOOKUP(ROWS($H$3:H157),$D$3:$E$204,2,0),"")</f>
        <v>MIKULOV</v>
      </c>
      <c r="I157" s="301"/>
      <c r="J157" s="335" t="s">
        <v>1521</v>
      </c>
      <c r="K157" s="323" t="s">
        <v>1522</v>
      </c>
      <c r="M157" s="324">
        <f>IF(ISNUMBER(SEARCH(ZAKL_DATA!$B$29,N157)),MAX($M$2:M156)+1,0)</f>
        <v>155</v>
      </c>
      <c r="N157" s="325" t="s">
        <v>1523</v>
      </c>
      <c r="O157" s="340" t="s">
        <v>1524</v>
      </c>
      <c r="Q157" s="327" t="str">
        <f>IFERROR(VLOOKUP(ROWS($Q$3:Q157),$M$3:$N$992,2,0),"")</f>
        <v>Podpůrné činnosti pro rostlinnou výrobu</v>
      </c>
      <c r="R157">
        <f>IF(ISNUMBER(SEARCH('1Př1'!$A$32,N157)),MAX($M$2:M156)+1,0)</f>
        <v>155</v>
      </c>
      <c r="S157" s="325" t="s">
        <v>1523</v>
      </c>
      <c r="T157" t="str">
        <f>IFERROR(VLOOKUP(ROWS($T$3:T157),$R$3:$S$992,2,0),"")</f>
        <v>Podpůrné činnosti pro rostlinnou výrobu</v>
      </c>
      <c r="U157">
        <f>IF(ISNUMBER(SEARCH('1Př1'!$A$33,N157)),MAX($M$2:M156)+1,0)</f>
        <v>155</v>
      </c>
      <c r="V157" s="325" t="s">
        <v>1523</v>
      </c>
      <c r="W157" t="str">
        <f>IFERROR(VLOOKUP(ROWS($W$3:W157),$U$3:$V$992,2,0),"")</f>
        <v>Podpůrné činnosti pro rostlinnou výrobu</v>
      </c>
      <c r="X157">
        <f>IF(ISNUMBER(SEARCH('1Př1'!$A$34,N157)),MAX($M$2:M156)+1,0)</f>
        <v>155</v>
      </c>
      <c r="Y157" s="325" t="s">
        <v>1523</v>
      </c>
      <c r="Z157" t="str">
        <f>IFERROR(VLOOKUP(ROWS($Z$3:Z157),$X$3:$Y$992,2,0),"")</f>
        <v>Podpůrné činnosti pro rostlinnou výrobu</v>
      </c>
    </row>
    <row r="158" spans="1:26" ht="12.75" customHeight="1">
      <c r="A158" s="301"/>
      <c r="B158" s="301"/>
      <c r="C158" s="301"/>
      <c r="D158" s="317">
        <f>IF(ISNUMBER(SEARCH(ZAKL_DATA!$B$14,E158)),MAX($D$2:D157)+1,0)</f>
        <v>156</v>
      </c>
      <c r="E158" s="330" t="s">
        <v>1525</v>
      </c>
      <c r="F158" s="331">
        <v>3015</v>
      </c>
      <c r="G158" s="332"/>
      <c r="H158" s="333" t="str">
        <f>IFERROR(VLOOKUP(ROWS($H$3:H158),$D$3:$E$204,2,0),"")</f>
        <v>MORAVSKÝ KRUMLOV</v>
      </c>
      <c r="I158" s="301"/>
      <c r="J158" s="335" t="s">
        <v>1526</v>
      </c>
      <c r="K158" s="323" t="s">
        <v>1527</v>
      </c>
      <c r="M158" s="324">
        <f>IF(ISNUMBER(SEARCH(ZAKL_DATA!$B$29,N158)),MAX($M$2:M157)+1,0)</f>
        <v>156</v>
      </c>
      <c r="N158" s="325" t="s">
        <v>1528</v>
      </c>
      <c r="O158" s="340" t="s">
        <v>1529</v>
      </c>
      <c r="Q158" s="327" t="str">
        <f>IFERROR(VLOOKUP(ROWS($Q$3:Q158),$M$3:$N$992,2,0),"")</f>
        <v>Výroba dřevěných,korkových,proutěných a slaměných výrobků,kromě nábytku</v>
      </c>
      <c r="R158">
        <f>IF(ISNUMBER(SEARCH('1Př1'!$A$32,N158)),MAX($M$2:M157)+1,0)</f>
        <v>156</v>
      </c>
      <c r="S158" s="325" t="s">
        <v>1528</v>
      </c>
      <c r="T158" t="str">
        <f>IFERROR(VLOOKUP(ROWS($T$3:T158),$R$3:$S$992,2,0),"")</f>
        <v>Výroba dřevěných,korkových,proutěných a slaměných výrobků,kromě nábytku</v>
      </c>
      <c r="U158">
        <f>IF(ISNUMBER(SEARCH('1Př1'!$A$33,N158)),MAX($M$2:M157)+1,0)</f>
        <v>156</v>
      </c>
      <c r="V158" s="325" t="s">
        <v>1528</v>
      </c>
      <c r="W158" t="str">
        <f>IFERROR(VLOOKUP(ROWS($W$3:W158),$U$3:$V$992,2,0),"")</f>
        <v>Výroba dřevěných,korkových,proutěných a slaměných výrobků,kromě nábytku</v>
      </c>
      <c r="X158">
        <f>IF(ISNUMBER(SEARCH('1Př1'!$A$34,N158)),MAX($M$2:M157)+1,0)</f>
        <v>156</v>
      </c>
      <c r="Y158" s="325" t="s">
        <v>1528</v>
      </c>
      <c r="Z158" t="str">
        <f>IFERROR(VLOOKUP(ROWS($Z$3:Z158),$X$3:$Y$992,2,0),"")</f>
        <v>Výroba dřevěných,korkových,proutěných a slaměných výrobků,kromě nábytku</v>
      </c>
    </row>
    <row r="159" spans="1:26" ht="12.75" customHeight="1">
      <c r="A159" s="301"/>
      <c r="B159" s="301"/>
      <c r="C159" s="301"/>
      <c r="D159" s="317">
        <f>IF(ISNUMBER(SEARCH(ZAKL_DATA!$B$14,E159)),MAX($D$2:D158)+1,0)</f>
        <v>157</v>
      </c>
      <c r="E159" s="330" t="s">
        <v>1530</v>
      </c>
      <c r="F159" s="331">
        <v>3016</v>
      </c>
      <c r="G159" s="332"/>
      <c r="H159" s="333" t="str">
        <f>IFERROR(VLOOKUP(ROWS($H$3:H159),$D$3:$E$204,2,0),"")</f>
        <v>SLAVKOV U BRNA</v>
      </c>
      <c r="I159" s="301"/>
      <c r="J159" s="335" t="s">
        <v>1531</v>
      </c>
      <c r="K159" s="323" t="s">
        <v>1532</v>
      </c>
      <c r="M159" s="324">
        <f>IF(ISNUMBER(SEARCH(ZAKL_DATA!$B$29,N159)),MAX($M$2:M158)+1,0)</f>
        <v>157</v>
      </c>
      <c r="N159" s="325" t="s">
        <v>1533</v>
      </c>
      <c r="O159" s="340" t="s">
        <v>1534</v>
      </c>
      <c r="Q159" s="327" t="str">
        <f>IFERROR(VLOOKUP(ROWS($Q$3:Q159),$M$3:$N$992,2,0),"")</f>
        <v>Podpůrné činnosti pro živočišnou výrobu</v>
      </c>
      <c r="R159">
        <f>IF(ISNUMBER(SEARCH('1Př1'!$A$32,N159)),MAX($M$2:M158)+1,0)</f>
        <v>157</v>
      </c>
      <c r="S159" s="325" t="s">
        <v>1533</v>
      </c>
      <c r="T159" t="str">
        <f>IFERROR(VLOOKUP(ROWS($T$3:T159),$R$3:$S$992,2,0),"")</f>
        <v>Podpůrné činnosti pro živočišnou výrobu</v>
      </c>
      <c r="U159">
        <f>IF(ISNUMBER(SEARCH('1Př1'!$A$33,N159)),MAX($M$2:M158)+1,0)</f>
        <v>157</v>
      </c>
      <c r="V159" s="325" t="s">
        <v>1533</v>
      </c>
      <c r="W159" t="str">
        <f>IFERROR(VLOOKUP(ROWS($W$3:W159),$U$3:$V$992,2,0),"")</f>
        <v>Podpůrné činnosti pro živočišnou výrobu</v>
      </c>
      <c r="X159">
        <f>IF(ISNUMBER(SEARCH('1Př1'!$A$34,N159)),MAX($M$2:M158)+1,0)</f>
        <v>157</v>
      </c>
      <c r="Y159" s="325" t="s">
        <v>1533</v>
      </c>
      <c r="Z159" t="str">
        <f>IFERROR(VLOOKUP(ROWS($Z$3:Z159),$X$3:$Y$992,2,0),"")</f>
        <v>Podpůrné činnosti pro živočišnou výrobu</v>
      </c>
    </row>
    <row r="160" spans="1:26" ht="12.75" customHeight="1">
      <c r="A160" s="301"/>
      <c r="B160" s="301"/>
      <c r="C160" s="301"/>
      <c r="D160" s="317">
        <f>IF(ISNUMBER(SEARCH(ZAKL_DATA!$B$14,E160)),MAX($D$2:D159)+1,0)</f>
        <v>158</v>
      </c>
      <c r="E160" s="330" t="s">
        <v>1535</v>
      </c>
      <c r="F160" s="331">
        <v>3017</v>
      </c>
      <c r="G160" s="332"/>
      <c r="H160" s="333" t="str">
        <f>IFERROR(VLOOKUP(ROWS($H$3:H160),$D$3:$E$204,2,0),"")</f>
        <v>TIŠNOV</v>
      </c>
      <c r="I160" s="301"/>
      <c r="J160" s="335" t="s">
        <v>1536</v>
      </c>
      <c r="K160" s="323" t="s">
        <v>1537</v>
      </c>
      <c r="M160" s="324">
        <f>IF(ISNUMBER(SEARCH(ZAKL_DATA!$B$29,N160)),MAX($M$2:M159)+1,0)</f>
        <v>158</v>
      </c>
      <c r="N160" s="325" t="s">
        <v>1538</v>
      </c>
      <c r="O160" s="340" t="s">
        <v>1539</v>
      </c>
      <c r="Q160" s="327" t="str">
        <f>IFERROR(VLOOKUP(ROWS($Q$3:Q160),$M$3:$N$992,2,0),"")</f>
        <v>Posklizňové činnosti</v>
      </c>
      <c r="R160">
        <f>IF(ISNUMBER(SEARCH('1Př1'!$A$32,N160)),MAX($M$2:M159)+1,0)</f>
        <v>158</v>
      </c>
      <c r="S160" s="325" t="s">
        <v>1538</v>
      </c>
      <c r="T160" t="str">
        <f>IFERROR(VLOOKUP(ROWS($T$3:T160),$R$3:$S$992,2,0),"")</f>
        <v>Posklizňové činnosti</v>
      </c>
      <c r="U160">
        <f>IF(ISNUMBER(SEARCH('1Př1'!$A$33,N160)),MAX($M$2:M159)+1,0)</f>
        <v>158</v>
      </c>
      <c r="V160" s="325" t="s">
        <v>1538</v>
      </c>
      <c r="W160" t="str">
        <f>IFERROR(VLOOKUP(ROWS($W$3:W160),$U$3:$V$992,2,0),"")</f>
        <v>Posklizňové činnosti</v>
      </c>
      <c r="X160">
        <f>IF(ISNUMBER(SEARCH('1Př1'!$A$34,N160)),MAX($M$2:M159)+1,0)</f>
        <v>158</v>
      </c>
      <c r="Y160" s="325" t="s">
        <v>1538</v>
      </c>
      <c r="Z160" t="str">
        <f>IFERROR(VLOOKUP(ROWS($Z$3:Z160),$X$3:$Y$992,2,0),"")</f>
        <v>Posklizňové činnosti</v>
      </c>
    </row>
    <row r="161" spans="1:26" ht="12.75" customHeight="1">
      <c r="A161" s="301"/>
      <c r="B161" s="301"/>
      <c r="C161" s="301"/>
      <c r="D161" s="317">
        <f>IF(ISNUMBER(SEARCH(ZAKL_DATA!$B$14,E161)),MAX($D$2:D160)+1,0)</f>
        <v>159</v>
      </c>
      <c r="E161" s="330" t="s">
        <v>1540</v>
      </c>
      <c r="F161" s="331">
        <v>3018</v>
      </c>
      <c r="G161" s="332"/>
      <c r="H161" s="333" t="str">
        <f>IFERROR(VLOOKUP(ROWS($H$3:H161),$D$3:$E$204,2,0),"")</f>
        <v>VESELÍ NAD MORAVOU</v>
      </c>
      <c r="I161" s="301"/>
      <c r="J161" s="334" t="s">
        <v>1541</v>
      </c>
      <c r="K161" s="323" t="s">
        <v>1542</v>
      </c>
      <c r="M161" s="324">
        <f>IF(ISNUMBER(SEARCH(ZAKL_DATA!$B$29,N161)),MAX($M$2:M160)+1,0)</f>
        <v>159</v>
      </c>
      <c r="N161" s="325" t="s">
        <v>1543</v>
      </c>
      <c r="O161" s="340" t="s">
        <v>1544</v>
      </c>
      <c r="Q161" s="327" t="str">
        <f>IFERROR(VLOOKUP(ROWS($Q$3:Q161),$M$3:$N$992,2,0),"")</f>
        <v>Zpracování osiva pro účely množení</v>
      </c>
      <c r="R161">
        <f>IF(ISNUMBER(SEARCH('1Př1'!$A$32,N161)),MAX($M$2:M160)+1,0)</f>
        <v>159</v>
      </c>
      <c r="S161" s="325" t="s">
        <v>1543</v>
      </c>
      <c r="T161" t="str">
        <f>IFERROR(VLOOKUP(ROWS($T$3:T161),$R$3:$S$992,2,0),"")</f>
        <v>Zpracování osiva pro účely množení</v>
      </c>
      <c r="U161">
        <f>IF(ISNUMBER(SEARCH('1Př1'!$A$33,N161)),MAX($M$2:M160)+1,0)</f>
        <v>159</v>
      </c>
      <c r="V161" s="325" t="s">
        <v>1543</v>
      </c>
      <c r="W161" t="str">
        <f>IFERROR(VLOOKUP(ROWS($W$3:W161),$U$3:$V$992,2,0),"")</f>
        <v>Zpracování osiva pro účely množení</v>
      </c>
      <c r="X161">
        <f>IF(ISNUMBER(SEARCH('1Př1'!$A$34,N161)),MAX($M$2:M160)+1,0)</f>
        <v>159</v>
      </c>
      <c r="Y161" s="325" t="s">
        <v>1543</v>
      </c>
      <c r="Z161" t="str">
        <f>IFERROR(VLOOKUP(ROWS($Z$3:Z161),$X$3:$Y$992,2,0),"")</f>
        <v>Zpracování osiva pro účely množení</v>
      </c>
    </row>
    <row r="162" spans="1:26" ht="12.75" customHeight="1">
      <c r="A162" s="301"/>
      <c r="B162" s="301"/>
      <c r="C162" s="301"/>
      <c r="D162" s="317">
        <f>IF(ISNUMBER(SEARCH(ZAKL_DATA!$B$14,E162)),MAX($D$2:D161)+1,0)</f>
        <v>160</v>
      </c>
      <c r="E162" s="330" t="s">
        <v>1545</v>
      </c>
      <c r="F162" s="331">
        <v>3019</v>
      </c>
      <c r="G162" s="332"/>
      <c r="H162" s="333" t="str">
        <f>IFERROR(VLOOKUP(ROWS($H$3:H162),$D$3:$E$204,2,0),"")</f>
        <v>VYŠKOV</v>
      </c>
      <c r="I162" s="301"/>
      <c r="J162" s="335" t="s">
        <v>1546</v>
      </c>
      <c r="K162" s="323" t="s">
        <v>1547</v>
      </c>
      <c r="M162" s="324">
        <f>IF(ISNUMBER(SEARCH(ZAKL_DATA!$B$29,N162)),MAX($M$2:M161)+1,0)</f>
        <v>160</v>
      </c>
      <c r="N162" s="325" t="s">
        <v>1548</v>
      </c>
      <c r="O162" s="340" t="s">
        <v>1549</v>
      </c>
      <c r="Q162" s="327" t="str">
        <f>IFERROR(VLOOKUP(ROWS($Q$3:Q162),$M$3:$N$992,2,0),"")</f>
        <v>Výroba buničiny, papíru a lepenky</v>
      </c>
      <c r="R162">
        <f>IF(ISNUMBER(SEARCH('1Př1'!$A$32,N162)),MAX($M$2:M161)+1,0)</f>
        <v>160</v>
      </c>
      <c r="S162" s="325" t="s">
        <v>1548</v>
      </c>
      <c r="T162" t="str">
        <f>IFERROR(VLOOKUP(ROWS($T$3:T162),$R$3:$S$992,2,0),"")</f>
        <v>Výroba buničiny, papíru a lepenky</v>
      </c>
      <c r="U162">
        <f>IF(ISNUMBER(SEARCH('1Př1'!$A$33,N162)),MAX($M$2:M161)+1,0)</f>
        <v>160</v>
      </c>
      <c r="V162" s="325" t="s">
        <v>1548</v>
      </c>
      <c r="W162" t="str">
        <f>IFERROR(VLOOKUP(ROWS($W$3:W162),$U$3:$V$992,2,0),"")</f>
        <v>Výroba buničiny, papíru a lepenky</v>
      </c>
      <c r="X162">
        <f>IF(ISNUMBER(SEARCH('1Př1'!$A$34,N162)),MAX($M$2:M161)+1,0)</f>
        <v>160</v>
      </c>
      <c r="Y162" s="325" t="s">
        <v>1548</v>
      </c>
      <c r="Z162" t="str">
        <f>IFERROR(VLOOKUP(ROWS($Z$3:Z162),$X$3:$Y$992,2,0),"")</f>
        <v>Výroba buničiny, papíru a lepenky</v>
      </c>
    </row>
    <row r="163" spans="1:26" ht="12.75" customHeight="1">
      <c r="A163" s="301"/>
      <c r="B163" s="301"/>
      <c r="C163" s="301"/>
      <c r="D163" s="317">
        <f>IF(ISNUMBER(SEARCH(ZAKL_DATA!$B$14,E163)),MAX($D$2:D162)+1,0)</f>
        <v>161</v>
      </c>
      <c r="E163" s="330" t="s">
        <v>1550</v>
      </c>
      <c r="F163" s="331">
        <v>3020</v>
      </c>
      <c r="G163" s="332"/>
      <c r="H163" s="333" t="str">
        <f>IFERROR(VLOOKUP(ROWS($H$3:H163),$D$3:$E$204,2,0),"")</f>
        <v>ZNOJMO</v>
      </c>
      <c r="I163" s="301"/>
      <c r="J163" s="335" t="s">
        <v>1551</v>
      </c>
      <c r="K163" s="323" t="s">
        <v>1552</v>
      </c>
      <c r="M163" s="324">
        <f>IF(ISNUMBER(SEARCH(ZAKL_DATA!$B$29,N163)),MAX($M$2:M162)+1,0)</f>
        <v>161</v>
      </c>
      <c r="N163" s="325" t="s">
        <v>1553</v>
      </c>
      <c r="O163" s="340" t="s">
        <v>1554</v>
      </c>
      <c r="Q163" s="327" t="str">
        <f>IFERROR(VLOOKUP(ROWS($Q$3:Q163),$M$3:$N$992,2,0),"")</f>
        <v>Výroba výrobků z papíru a lepenky</v>
      </c>
      <c r="R163">
        <f>IF(ISNUMBER(SEARCH('1Př1'!$A$32,N163)),MAX($M$2:M162)+1,0)</f>
        <v>161</v>
      </c>
      <c r="S163" s="325" t="s">
        <v>1553</v>
      </c>
      <c r="T163" t="str">
        <f>IFERROR(VLOOKUP(ROWS($T$3:T163),$R$3:$S$992,2,0),"")</f>
        <v>Výroba výrobků z papíru a lepenky</v>
      </c>
      <c r="U163">
        <f>IF(ISNUMBER(SEARCH('1Př1'!$A$33,N163)),MAX($M$2:M162)+1,0)</f>
        <v>161</v>
      </c>
      <c r="V163" s="325" t="s">
        <v>1553</v>
      </c>
      <c r="W163" t="str">
        <f>IFERROR(VLOOKUP(ROWS($W$3:W163),$U$3:$V$992,2,0),"")</f>
        <v>Výroba výrobků z papíru a lepenky</v>
      </c>
      <c r="X163">
        <f>IF(ISNUMBER(SEARCH('1Př1'!$A$34,N163)),MAX($M$2:M162)+1,0)</f>
        <v>161</v>
      </c>
      <c r="Y163" s="325" t="s">
        <v>1553</v>
      </c>
      <c r="Z163" t="str">
        <f>IFERROR(VLOOKUP(ROWS($Z$3:Z163),$X$3:$Y$992,2,0),"")</f>
        <v>Výroba výrobků z papíru a lepenky</v>
      </c>
    </row>
    <row r="164" spans="1:26" ht="12.75" customHeight="1">
      <c r="A164" s="301"/>
      <c r="B164" s="301"/>
      <c r="C164" s="301"/>
      <c r="D164" s="317">
        <f>IF(ISNUMBER(SEARCH(ZAKL_DATA!$B$14,E164)),MAX($D$2:D163)+1,0)</f>
        <v>162</v>
      </c>
      <c r="E164" s="330" t="s">
        <v>1555</v>
      </c>
      <c r="F164" s="331">
        <v>3101</v>
      </c>
      <c r="G164" s="332"/>
      <c r="H164" s="333" t="str">
        <f>IFERROR(VLOOKUP(ROWS($H$3:H164),$D$3:$E$204,2,0),"")</f>
        <v>OLOMOUC</v>
      </c>
      <c r="I164" s="301"/>
      <c r="J164" s="335" t="s">
        <v>1556</v>
      </c>
      <c r="K164" s="323" t="s">
        <v>1557</v>
      </c>
      <c r="M164" s="324">
        <f>IF(ISNUMBER(SEARCH(ZAKL_DATA!$B$29,N164)),MAX($M$2:M163)+1,0)</f>
        <v>162</v>
      </c>
      <c r="N164" s="325" t="s">
        <v>1558</v>
      </c>
      <c r="O164" s="340" t="s">
        <v>1559</v>
      </c>
      <c r="Q164" s="327" t="str">
        <f>IFERROR(VLOOKUP(ROWS($Q$3:Q164),$M$3:$N$992,2,0),"")</f>
        <v>Tisk a činnosti související s tiskem</v>
      </c>
      <c r="R164">
        <f>IF(ISNUMBER(SEARCH('1Př1'!$A$32,N164)),MAX($M$2:M163)+1,0)</f>
        <v>162</v>
      </c>
      <c r="S164" s="325" t="s">
        <v>1558</v>
      </c>
      <c r="T164" t="str">
        <f>IFERROR(VLOOKUP(ROWS($T$3:T164),$R$3:$S$992,2,0),"")</f>
        <v>Tisk a činnosti související s tiskem</v>
      </c>
      <c r="U164">
        <f>IF(ISNUMBER(SEARCH('1Př1'!$A$33,N164)),MAX($M$2:M163)+1,0)</f>
        <v>162</v>
      </c>
      <c r="V164" s="325" t="s">
        <v>1558</v>
      </c>
      <c r="W164" t="str">
        <f>IFERROR(VLOOKUP(ROWS($W$3:W164),$U$3:$V$992,2,0),"")</f>
        <v>Tisk a činnosti související s tiskem</v>
      </c>
      <c r="X164">
        <f>IF(ISNUMBER(SEARCH('1Př1'!$A$34,N164)),MAX($M$2:M163)+1,0)</f>
        <v>162</v>
      </c>
      <c r="Y164" s="325" t="s">
        <v>1558</v>
      </c>
      <c r="Z164" t="str">
        <f>IFERROR(VLOOKUP(ROWS($Z$3:Z164),$X$3:$Y$992,2,0),"")</f>
        <v>Tisk a činnosti související s tiskem</v>
      </c>
    </row>
    <row r="165" spans="1:26" ht="12.75" customHeight="1">
      <c r="A165" s="301"/>
      <c r="B165" s="301"/>
      <c r="C165" s="301"/>
      <c r="D165" s="317">
        <f>IF(ISNUMBER(SEARCH(ZAKL_DATA!$B$14,E165)),MAX($D$2:D164)+1,0)</f>
        <v>163</v>
      </c>
      <c r="E165" s="330" t="s">
        <v>1560</v>
      </c>
      <c r="F165" s="331">
        <v>3102</v>
      </c>
      <c r="G165" s="332"/>
      <c r="H165" s="333" t="str">
        <f>IFERROR(VLOOKUP(ROWS($H$3:H165),$D$3:$E$204,2,0),"")</f>
        <v>HRANICE</v>
      </c>
      <c r="I165" s="301"/>
      <c r="J165" s="334" t="s">
        <v>1561</v>
      </c>
      <c r="K165" s="323" t="s">
        <v>1562</v>
      </c>
      <c r="M165" s="324">
        <f>IF(ISNUMBER(SEARCH(ZAKL_DATA!$B$29,N165)),MAX($M$2:M164)+1,0)</f>
        <v>163</v>
      </c>
      <c r="N165" s="325" t="s">
        <v>1563</v>
      </c>
      <c r="O165" s="340" t="s">
        <v>1564</v>
      </c>
      <c r="Q165" s="327" t="str">
        <f>IFERROR(VLOOKUP(ROWS($Q$3:Q165),$M$3:$N$992,2,0),"")</f>
        <v>Rozmnožování nahraných nosičů</v>
      </c>
      <c r="R165">
        <f>IF(ISNUMBER(SEARCH('1Př1'!$A$32,N165)),MAX($M$2:M164)+1,0)</f>
        <v>163</v>
      </c>
      <c r="S165" s="325" t="s">
        <v>1563</v>
      </c>
      <c r="T165" t="str">
        <f>IFERROR(VLOOKUP(ROWS($T$3:T165),$R$3:$S$992,2,0),"")</f>
        <v>Rozmnožování nahraných nosičů</v>
      </c>
      <c r="U165">
        <f>IF(ISNUMBER(SEARCH('1Př1'!$A$33,N165)),MAX($M$2:M164)+1,0)</f>
        <v>163</v>
      </c>
      <c r="V165" s="325" t="s">
        <v>1563</v>
      </c>
      <c r="W165" t="str">
        <f>IFERROR(VLOOKUP(ROWS($W$3:W165),$U$3:$V$992,2,0),"")</f>
        <v>Rozmnožování nahraných nosičů</v>
      </c>
      <c r="X165">
        <f>IF(ISNUMBER(SEARCH('1Př1'!$A$34,N165)),MAX($M$2:M164)+1,0)</f>
        <v>163</v>
      </c>
      <c r="Y165" s="325" t="s">
        <v>1563</v>
      </c>
      <c r="Z165" t="str">
        <f>IFERROR(VLOOKUP(ROWS($Z$3:Z165),$X$3:$Y$992,2,0),"")</f>
        <v>Rozmnožování nahraných nosičů</v>
      </c>
    </row>
    <row r="166" spans="1:26" ht="12.75" customHeight="1">
      <c r="A166" s="301"/>
      <c r="B166" s="301"/>
      <c r="C166" s="301"/>
      <c r="D166" s="317">
        <f>IF(ISNUMBER(SEARCH(ZAKL_DATA!$B$14,E166)),MAX($D$2:D165)+1,0)</f>
        <v>164</v>
      </c>
      <c r="E166" s="330" t="s">
        <v>1565</v>
      </c>
      <c r="F166" s="331">
        <v>3103</v>
      </c>
      <c r="G166" s="332"/>
      <c r="H166" s="333" t="str">
        <f>IFERROR(VLOOKUP(ROWS($H$3:H166),$D$3:$E$204,2,0),"")</f>
        <v>JESENÍK</v>
      </c>
      <c r="I166" s="301"/>
      <c r="J166" s="335" t="s">
        <v>1566</v>
      </c>
      <c r="K166" s="323" t="s">
        <v>1567</v>
      </c>
      <c r="M166" s="324">
        <f>IF(ISNUMBER(SEARCH(ZAKL_DATA!$B$29,N166)),MAX($M$2:M165)+1,0)</f>
        <v>164</v>
      </c>
      <c r="N166" s="325" t="s">
        <v>1568</v>
      </c>
      <c r="O166" s="340" t="s">
        <v>1569</v>
      </c>
      <c r="Q166" s="327" t="str">
        <f>IFERROR(VLOOKUP(ROWS($Q$3:Q166),$M$3:$N$992,2,0),"")</f>
        <v>Výroba koksárenských produktů</v>
      </c>
      <c r="R166">
        <f>IF(ISNUMBER(SEARCH('1Př1'!$A$32,N166)),MAX($M$2:M165)+1,0)</f>
        <v>164</v>
      </c>
      <c r="S166" s="325" t="s">
        <v>1568</v>
      </c>
      <c r="T166" t="str">
        <f>IFERROR(VLOOKUP(ROWS($T$3:T166),$R$3:$S$992,2,0),"")</f>
        <v>Výroba koksárenských produktů</v>
      </c>
      <c r="U166">
        <f>IF(ISNUMBER(SEARCH('1Př1'!$A$33,N166)),MAX($M$2:M165)+1,0)</f>
        <v>164</v>
      </c>
      <c r="V166" s="325" t="s">
        <v>1568</v>
      </c>
      <c r="W166" t="str">
        <f>IFERROR(VLOOKUP(ROWS($W$3:W166),$U$3:$V$992,2,0),"")</f>
        <v>Výroba koksárenských produktů</v>
      </c>
      <c r="X166">
        <f>IF(ISNUMBER(SEARCH('1Př1'!$A$34,N166)),MAX($M$2:M165)+1,0)</f>
        <v>164</v>
      </c>
      <c r="Y166" s="325" t="s">
        <v>1568</v>
      </c>
      <c r="Z166" t="str">
        <f>IFERROR(VLOOKUP(ROWS($Z$3:Z166),$X$3:$Y$992,2,0),"")</f>
        <v>Výroba koksárenských produktů</v>
      </c>
    </row>
    <row r="167" spans="1:26" ht="12.75" customHeight="1">
      <c r="A167" s="301"/>
      <c r="B167" s="301"/>
      <c r="C167" s="301"/>
      <c r="D167" s="317">
        <f>IF(ISNUMBER(SEARCH(ZAKL_DATA!$B$14,E167)),MAX($D$2:D166)+1,0)</f>
        <v>165</v>
      </c>
      <c r="E167" s="330" t="s">
        <v>1570</v>
      </c>
      <c r="F167" s="331">
        <v>3104</v>
      </c>
      <c r="G167" s="332"/>
      <c r="H167" s="333" t="str">
        <f>IFERROR(VLOOKUP(ROWS($H$3:H167),$D$3:$E$204,2,0),"")</f>
        <v>KONICE</v>
      </c>
      <c r="I167" s="301"/>
      <c r="J167" s="335" t="s">
        <v>1571</v>
      </c>
      <c r="K167" s="323" t="s">
        <v>1572</v>
      </c>
      <c r="M167" s="324">
        <f>IF(ISNUMBER(SEARCH(ZAKL_DATA!$B$29,N167)),MAX($M$2:M166)+1,0)</f>
        <v>165</v>
      </c>
      <c r="N167" s="325" t="s">
        <v>1573</v>
      </c>
      <c r="O167" s="340" t="s">
        <v>1574</v>
      </c>
      <c r="Q167" s="327" t="str">
        <f>IFERROR(VLOOKUP(ROWS($Q$3:Q167),$M$3:$N$992,2,0),"")</f>
        <v>Výroba rafinovaných ropných produktů</v>
      </c>
      <c r="R167">
        <f>IF(ISNUMBER(SEARCH('1Př1'!$A$32,N167)),MAX($M$2:M166)+1,0)</f>
        <v>165</v>
      </c>
      <c r="S167" s="325" t="s">
        <v>1573</v>
      </c>
      <c r="T167" t="str">
        <f>IFERROR(VLOOKUP(ROWS($T$3:T167),$R$3:$S$992,2,0),"")</f>
        <v>Výroba rafinovaných ropných produktů</v>
      </c>
      <c r="U167">
        <f>IF(ISNUMBER(SEARCH('1Př1'!$A$33,N167)),MAX($M$2:M166)+1,0)</f>
        <v>165</v>
      </c>
      <c r="V167" s="325" t="s">
        <v>1573</v>
      </c>
      <c r="W167" t="str">
        <f>IFERROR(VLOOKUP(ROWS($W$3:W167),$U$3:$V$992,2,0),"")</f>
        <v>Výroba rafinovaných ropných produktů</v>
      </c>
      <c r="X167">
        <f>IF(ISNUMBER(SEARCH('1Př1'!$A$34,N167)),MAX($M$2:M166)+1,0)</f>
        <v>165</v>
      </c>
      <c r="Y167" s="325" t="s">
        <v>1573</v>
      </c>
      <c r="Z167" t="str">
        <f>IFERROR(VLOOKUP(ROWS($Z$3:Z167),$X$3:$Y$992,2,0),"")</f>
        <v>Výroba rafinovaných ropných produktů</v>
      </c>
    </row>
    <row r="168" spans="1:26" ht="12.75" customHeight="1">
      <c r="A168" s="301"/>
      <c r="B168" s="301"/>
      <c r="C168" s="301"/>
      <c r="D168" s="317">
        <f>IF(ISNUMBER(SEARCH(ZAKL_DATA!$B$14,E168)),MAX($D$2:D167)+1,0)</f>
        <v>166</v>
      </c>
      <c r="E168" s="330" t="s">
        <v>1575</v>
      </c>
      <c r="F168" s="331">
        <v>3105</v>
      </c>
      <c r="G168" s="332"/>
      <c r="H168" s="333" t="str">
        <f>IFERROR(VLOOKUP(ROWS($H$3:H168),$D$3:$E$204,2,0),"")</f>
        <v>LITOVEL</v>
      </c>
      <c r="I168" s="301"/>
      <c r="J168" s="335" t="s">
        <v>1576</v>
      </c>
      <c r="K168" s="323" t="s">
        <v>1577</v>
      </c>
      <c r="M168" s="324">
        <f>IF(ISNUMBER(SEARCH(ZAKL_DATA!$B$29,N168)),MAX($M$2:M167)+1,0)</f>
        <v>166</v>
      </c>
      <c r="N168" s="325" t="s">
        <v>1578</v>
      </c>
      <c r="O168" s="326" t="s">
        <v>1579</v>
      </c>
      <c r="Q168" s="327" t="str">
        <f>IFERROR(VLOOKUP(ROWS($Q$3:Q168),$M$3:$N$992,2,0),"")</f>
        <v>Výroba zákl.chem.látek,hnojiv a dusík.sl.,plastů a synt.kaučuku v prim.f.</v>
      </c>
      <c r="R168">
        <f>IF(ISNUMBER(SEARCH('1Př1'!$A$32,N168)),MAX($M$2:M167)+1,0)</f>
        <v>166</v>
      </c>
      <c r="S168" s="325" t="s">
        <v>1578</v>
      </c>
      <c r="T168" t="str">
        <f>IFERROR(VLOOKUP(ROWS($T$3:T168),$R$3:$S$992,2,0),"")</f>
        <v>Výroba zákl.chem.látek,hnojiv a dusík.sl.,plastů a synt.kaučuku v prim.f.</v>
      </c>
      <c r="U168">
        <f>IF(ISNUMBER(SEARCH('1Př1'!$A$33,N168)),MAX($M$2:M167)+1,0)</f>
        <v>166</v>
      </c>
      <c r="V168" s="325" t="s">
        <v>1578</v>
      </c>
      <c r="W168" t="str">
        <f>IFERROR(VLOOKUP(ROWS($W$3:W168),$U$3:$V$992,2,0),"")</f>
        <v>Výroba zákl.chem.látek,hnojiv a dusík.sl.,plastů a synt.kaučuku v prim.f.</v>
      </c>
      <c r="X168">
        <f>IF(ISNUMBER(SEARCH('1Př1'!$A$34,N168)),MAX($M$2:M167)+1,0)</f>
        <v>166</v>
      </c>
      <c r="Y168" s="325" t="s">
        <v>1578</v>
      </c>
      <c r="Z168" t="str">
        <f>IFERROR(VLOOKUP(ROWS($Z$3:Z168),$X$3:$Y$992,2,0),"")</f>
        <v>Výroba zákl.chem.látek,hnojiv a dusík.sl.,plastů a synt.kaučuku v prim.f.</v>
      </c>
    </row>
    <row r="169" spans="1:26" ht="12.75" customHeight="1">
      <c r="A169" s="301"/>
      <c r="B169" s="301"/>
      <c r="C169" s="301"/>
      <c r="D169" s="317">
        <f>IF(ISNUMBER(SEARCH(ZAKL_DATA!$B$14,E169)),MAX($D$2:D168)+1,0)</f>
        <v>167</v>
      </c>
      <c r="E169" s="330" t="s">
        <v>1580</v>
      </c>
      <c r="F169" s="331">
        <v>3106</v>
      </c>
      <c r="G169" s="332"/>
      <c r="H169" s="333" t="str">
        <f>IFERROR(VLOOKUP(ROWS($H$3:H169),$D$3:$E$204,2,0),"")</f>
        <v>PROSTĚJOV</v>
      </c>
      <c r="I169" s="301"/>
      <c r="J169" s="335" t="s">
        <v>1581</v>
      </c>
      <c r="K169" s="323" t="s">
        <v>1582</v>
      </c>
      <c r="M169" s="324">
        <f>IF(ISNUMBER(SEARCH(ZAKL_DATA!$B$29,N169)),MAX($M$2:M168)+1,0)</f>
        <v>167</v>
      </c>
      <c r="N169" s="325" t="s">
        <v>1583</v>
      </c>
      <c r="O169" s="326" t="s">
        <v>1584</v>
      </c>
      <c r="Q169" s="327" t="str">
        <f>IFERROR(VLOOKUP(ROWS($Q$3:Q169),$M$3:$N$992,2,0),"")</f>
        <v>Výroba pesticidů a jiných agrochemických přípravků</v>
      </c>
      <c r="R169">
        <f>IF(ISNUMBER(SEARCH('1Př1'!$A$32,N169)),MAX($M$2:M168)+1,0)</f>
        <v>167</v>
      </c>
      <c r="S169" s="325" t="s">
        <v>1583</v>
      </c>
      <c r="T169" t="str">
        <f>IFERROR(VLOOKUP(ROWS($T$3:T169),$R$3:$S$992,2,0),"")</f>
        <v>Výroba pesticidů a jiných agrochemických přípravků</v>
      </c>
      <c r="U169">
        <f>IF(ISNUMBER(SEARCH('1Př1'!$A$33,N169)),MAX($M$2:M168)+1,0)</f>
        <v>167</v>
      </c>
      <c r="V169" s="325" t="s">
        <v>1583</v>
      </c>
      <c r="W169" t="str">
        <f>IFERROR(VLOOKUP(ROWS($W$3:W169),$U$3:$V$992,2,0),"")</f>
        <v>Výroba pesticidů a jiných agrochemických přípravků</v>
      </c>
      <c r="X169">
        <f>IF(ISNUMBER(SEARCH('1Př1'!$A$34,N169)),MAX($M$2:M168)+1,0)</f>
        <v>167</v>
      </c>
      <c r="Y169" s="325" t="s">
        <v>1583</v>
      </c>
      <c r="Z169" t="str">
        <f>IFERROR(VLOOKUP(ROWS($Z$3:Z169),$X$3:$Y$992,2,0),"")</f>
        <v>Výroba pesticidů a jiných agrochemických přípravků</v>
      </c>
    </row>
    <row r="170" spans="1:26" ht="12.75" customHeight="1">
      <c r="A170" s="301"/>
      <c r="B170" s="301"/>
      <c r="C170" s="301"/>
      <c r="D170" s="317">
        <f>IF(ISNUMBER(SEARCH(ZAKL_DATA!$B$14,E170)),MAX($D$2:D169)+1,0)</f>
        <v>168</v>
      </c>
      <c r="E170" s="330" t="s">
        <v>1585</v>
      </c>
      <c r="F170" s="331">
        <v>3107</v>
      </c>
      <c r="G170" s="332"/>
      <c r="H170" s="333" t="str">
        <f>IFERROR(VLOOKUP(ROWS($H$3:H170),$D$3:$E$204,2,0),"")</f>
        <v>PŘEROV</v>
      </c>
      <c r="I170" s="301"/>
      <c r="J170" s="335" t="s">
        <v>1586</v>
      </c>
      <c r="K170" s="323" t="s">
        <v>1587</v>
      </c>
      <c r="M170" s="324">
        <f>IF(ISNUMBER(SEARCH(ZAKL_DATA!$B$29,N170)),MAX($M$2:M169)+1,0)</f>
        <v>168</v>
      </c>
      <c r="N170" s="325" t="s">
        <v>1588</v>
      </c>
      <c r="O170" s="326" t="s">
        <v>1589</v>
      </c>
      <c r="Q170" s="327" t="str">
        <f>IFERROR(VLOOKUP(ROWS($Q$3:Q170),$M$3:$N$992,2,0),"")</f>
        <v>Výroba nátěr.barev,laků a jiných nátěrových mater.,tisk.barev a tmelů</v>
      </c>
      <c r="R170">
        <f>IF(ISNUMBER(SEARCH('1Př1'!$A$32,N170)),MAX($M$2:M169)+1,0)</f>
        <v>168</v>
      </c>
      <c r="S170" s="325" t="s">
        <v>1588</v>
      </c>
      <c r="T170" t="str">
        <f>IFERROR(VLOOKUP(ROWS($T$3:T170),$R$3:$S$992,2,0),"")</f>
        <v>Výroba nátěr.barev,laků a jiných nátěrových mater.,tisk.barev a tmelů</v>
      </c>
      <c r="U170">
        <f>IF(ISNUMBER(SEARCH('1Př1'!$A$33,N170)),MAX($M$2:M169)+1,0)</f>
        <v>168</v>
      </c>
      <c r="V170" s="325" t="s">
        <v>1588</v>
      </c>
      <c r="W170" t="str">
        <f>IFERROR(VLOOKUP(ROWS($W$3:W170),$U$3:$V$992,2,0),"")</f>
        <v>Výroba nátěr.barev,laků a jiných nátěrových mater.,tisk.barev a tmelů</v>
      </c>
      <c r="X170">
        <f>IF(ISNUMBER(SEARCH('1Př1'!$A$34,N170)),MAX($M$2:M169)+1,0)</f>
        <v>168</v>
      </c>
      <c r="Y170" s="325" t="s">
        <v>1588</v>
      </c>
      <c r="Z170" t="str">
        <f>IFERROR(VLOOKUP(ROWS($Z$3:Z170),$X$3:$Y$992,2,0),"")</f>
        <v>Výroba nátěr.barev,laků a jiných nátěrových mater.,tisk.barev a tmelů</v>
      </c>
    </row>
    <row r="171" spans="1:26" ht="12.75" customHeight="1">
      <c r="A171" s="301"/>
      <c r="B171" s="301"/>
      <c r="C171" s="301"/>
      <c r="D171" s="317">
        <f>IF(ISNUMBER(SEARCH(ZAKL_DATA!$B$14,E171)),MAX($D$2:D170)+1,0)</f>
        <v>169</v>
      </c>
      <c r="E171" s="330" t="s">
        <v>1590</v>
      </c>
      <c r="F171" s="331">
        <v>3108</v>
      </c>
      <c r="G171" s="332"/>
      <c r="H171" s="333" t="str">
        <f>IFERROR(VLOOKUP(ROWS($H$3:H171),$D$3:$E$204,2,0),"")</f>
        <v>ŠTERNBERK</v>
      </c>
      <c r="I171" s="301"/>
      <c r="J171" s="335" t="s">
        <v>1591</v>
      </c>
      <c r="K171" s="323" t="s">
        <v>1592</v>
      </c>
      <c r="M171" s="324">
        <f>IF(ISNUMBER(SEARCH(ZAKL_DATA!$B$29,N171)),MAX($M$2:M170)+1,0)</f>
        <v>169</v>
      </c>
      <c r="N171" s="325" t="s">
        <v>1593</v>
      </c>
      <c r="O171" s="326" t="s">
        <v>1594</v>
      </c>
      <c r="Q171" s="327" t="str">
        <f>IFERROR(VLOOKUP(ROWS($Q$3:Q171),$M$3:$N$992,2,0),"")</f>
        <v>Výroba mýdel a detergentů,čist.a lešticích prostř.,parfémů a toal. přípr.</v>
      </c>
      <c r="R171">
        <f>IF(ISNUMBER(SEARCH('1Př1'!$A$32,N171)),MAX($M$2:M170)+1,0)</f>
        <v>169</v>
      </c>
      <c r="S171" s="325" t="s">
        <v>1593</v>
      </c>
      <c r="T171" t="str">
        <f>IFERROR(VLOOKUP(ROWS($T$3:T171),$R$3:$S$992,2,0),"")</f>
        <v>Výroba mýdel a detergentů,čist.a lešticích prostř.,parfémů a toal. přípr.</v>
      </c>
      <c r="U171">
        <f>IF(ISNUMBER(SEARCH('1Př1'!$A$33,N171)),MAX($M$2:M170)+1,0)</f>
        <v>169</v>
      </c>
      <c r="V171" s="325" t="s">
        <v>1593</v>
      </c>
      <c r="W171" t="str">
        <f>IFERROR(VLOOKUP(ROWS($W$3:W171),$U$3:$V$992,2,0),"")</f>
        <v>Výroba mýdel a detergentů,čist.a lešticích prostř.,parfémů a toal. přípr.</v>
      </c>
      <c r="X171">
        <f>IF(ISNUMBER(SEARCH('1Př1'!$A$34,N171)),MAX($M$2:M170)+1,0)</f>
        <v>169</v>
      </c>
      <c r="Y171" s="325" t="s">
        <v>1593</v>
      </c>
      <c r="Z171" t="str">
        <f>IFERROR(VLOOKUP(ROWS($Z$3:Z171),$X$3:$Y$992,2,0),"")</f>
        <v>Výroba mýdel a detergentů,čist.a lešticích prostř.,parfémů a toal. přípr.</v>
      </c>
    </row>
    <row r="172" spans="1:26" ht="12.75" customHeight="1">
      <c r="A172" s="301"/>
      <c r="B172" s="301"/>
      <c r="C172" s="301"/>
      <c r="D172" s="317">
        <f>IF(ISNUMBER(SEARCH(ZAKL_DATA!$B$14,E172)),MAX($D$2:D171)+1,0)</f>
        <v>170</v>
      </c>
      <c r="E172" s="330" t="s">
        <v>1595</v>
      </c>
      <c r="F172" s="331">
        <v>3109</v>
      </c>
      <c r="G172" s="332"/>
      <c r="H172" s="333" t="str">
        <f>IFERROR(VLOOKUP(ROWS($H$3:H172),$D$3:$E$204,2,0),"")</f>
        <v>ŠUMPERK</v>
      </c>
      <c r="I172" s="301"/>
      <c r="J172" s="335" t="s">
        <v>1596</v>
      </c>
      <c r="K172" s="323" t="s">
        <v>1597</v>
      </c>
      <c r="M172" s="324">
        <f>IF(ISNUMBER(SEARCH(ZAKL_DATA!$B$29,N172)),MAX($M$2:M171)+1,0)</f>
        <v>170</v>
      </c>
      <c r="N172" s="325" t="s">
        <v>1598</v>
      </c>
      <c r="O172" s="340" t="s">
        <v>1599</v>
      </c>
      <c r="Q172" s="327" t="str">
        <f>IFERROR(VLOOKUP(ROWS($Q$3:Q172),$M$3:$N$992,2,0),"")</f>
        <v>Výroba ostatních chemických výrobků</v>
      </c>
      <c r="R172">
        <f>IF(ISNUMBER(SEARCH('1Př1'!$A$32,N172)),MAX($M$2:M171)+1,0)</f>
        <v>170</v>
      </c>
      <c r="S172" s="325" t="s">
        <v>1598</v>
      </c>
      <c r="T172" t="str">
        <f>IFERROR(VLOOKUP(ROWS($T$3:T172),$R$3:$S$992,2,0),"")</f>
        <v>Výroba ostatních chemických výrobků</v>
      </c>
      <c r="U172">
        <f>IF(ISNUMBER(SEARCH('1Př1'!$A$33,N172)),MAX($M$2:M171)+1,0)</f>
        <v>170</v>
      </c>
      <c r="V172" s="325" t="s">
        <v>1598</v>
      </c>
      <c r="W172" t="str">
        <f>IFERROR(VLOOKUP(ROWS($W$3:W172),$U$3:$V$992,2,0),"")</f>
        <v>Výroba ostatních chemických výrobků</v>
      </c>
      <c r="X172">
        <f>IF(ISNUMBER(SEARCH('1Př1'!$A$34,N172)),MAX($M$2:M171)+1,0)</f>
        <v>170</v>
      </c>
      <c r="Y172" s="325" t="s">
        <v>1598</v>
      </c>
      <c r="Z172" t="str">
        <f>IFERROR(VLOOKUP(ROWS($Z$3:Z172),$X$3:$Y$992,2,0),"")</f>
        <v>Výroba ostatních chemických výrobků</v>
      </c>
    </row>
    <row r="173" spans="1:26" ht="12.75" customHeight="1">
      <c r="A173" s="301"/>
      <c r="B173" s="301"/>
      <c r="C173" s="301"/>
      <c r="D173" s="317">
        <f>IF(ISNUMBER(SEARCH(ZAKL_DATA!$B$14,E173)),MAX($D$2:D172)+1,0)</f>
        <v>171</v>
      </c>
      <c r="E173" s="330" t="s">
        <v>1600</v>
      </c>
      <c r="F173" s="331">
        <v>3110</v>
      </c>
      <c r="G173" s="332"/>
      <c r="H173" s="333" t="str">
        <f>IFERROR(VLOOKUP(ROWS($H$3:H173),$D$3:$E$204,2,0),"")</f>
        <v>ZÁBŘEH</v>
      </c>
      <c r="I173" s="301"/>
      <c r="J173" s="335" t="s">
        <v>1601</v>
      </c>
      <c r="K173" s="323" t="s">
        <v>1602</v>
      </c>
      <c r="M173" s="324">
        <f>IF(ISNUMBER(SEARCH(ZAKL_DATA!$B$29,N173)),MAX($M$2:M172)+1,0)</f>
        <v>171</v>
      </c>
      <c r="N173" s="325" t="s">
        <v>1603</v>
      </c>
      <c r="O173" s="326" t="s">
        <v>1604</v>
      </c>
      <c r="Q173" s="327" t="str">
        <f>IFERROR(VLOOKUP(ROWS($Q$3:Q173),$M$3:$N$992,2,0),"")</f>
        <v>Výroba chemických vláken</v>
      </c>
      <c r="R173">
        <f>IF(ISNUMBER(SEARCH('1Př1'!$A$32,N173)),MAX($M$2:M172)+1,0)</f>
        <v>171</v>
      </c>
      <c r="S173" s="325" t="s">
        <v>1603</v>
      </c>
      <c r="T173" t="str">
        <f>IFERROR(VLOOKUP(ROWS($T$3:T173),$R$3:$S$992,2,0),"")</f>
        <v>Výroba chemických vláken</v>
      </c>
      <c r="U173">
        <f>IF(ISNUMBER(SEARCH('1Př1'!$A$33,N173)),MAX($M$2:M172)+1,0)</f>
        <v>171</v>
      </c>
      <c r="V173" s="325" t="s">
        <v>1603</v>
      </c>
      <c r="W173" t="str">
        <f>IFERROR(VLOOKUP(ROWS($W$3:W173),$U$3:$V$992,2,0),"")</f>
        <v>Výroba chemických vláken</v>
      </c>
      <c r="X173">
        <f>IF(ISNUMBER(SEARCH('1Př1'!$A$34,N173)),MAX($M$2:M172)+1,0)</f>
        <v>171</v>
      </c>
      <c r="Y173" s="325" t="s">
        <v>1603</v>
      </c>
      <c r="Z173" t="str">
        <f>IFERROR(VLOOKUP(ROWS($Z$3:Z173),$X$3:$Y$992,2,0),"")</f>
        <v>Výroba chemických vláken</v>
      </c>
    </row>
    <row r="174" spans="1:26" ht="12.75" customHeight="1">
      <c r="A174" s="301"/>
      <c r="B174" s="301"/>
      <c r="C174" s="301"/>
      <c r="D174" s="317">
        <f>IF(ISNUMBER(SEARCH(ZAKL_DATA!$B$14,E174)),MAX($D$2:D173)+1,0)</f>
        <v>172</v>
      </c>
      <c r="E174" s="330" t="s">
        <v>1605</v>
      </c>
      <c r="F174" s="331">
        <v>3201</v>
      </c>
      <c r="G174" s="332"/>
      <c r="H174" s="333" t="str">
        <f>IFERROR(VLOOKUP(ROWS($H$3:H174),$D$3:$E$204,2,0),"")</f>
        <v>OSTRAVA I</v>
      </c>
      <c r="I174" s="301"/>
      <c r="J174" s="335" t="s">
        <v>1606</v>
      </c>
      <c r="K174" s="323" t="s">
        <v>1607</v>
      </c>
      <c r="M174" s="324">
        <f>IF(ISNUMBER(SEARCH(ZAKL_DATA!$B$29,N174)),MAX($M$2:M173)+1,0)</f>
        <v>172</v>
      </c>
      <c r="N174" s="325" t="s">
        <v>1608</v>
      </c>
      <c r="O174" s="340" t="s">
        <v>1609</v>
      </c>
      <c r="Q174" s="327" t="str">
        <f>IFERROR(VLOOKUP(ROWS($Q$3:Q174),$M$3:$N$992,2,0),"")</f>
        <v>Výroba základních farmaceutických výrobků</v>
      </c>
      <c r="R174">
        <f>IF(ISNUMBER(SEARCH('1Př1'!$A$32,N174)),MAX($M$2:M173)+1,0)</f>
        <v>172</v>
      </c>
      <c r="S174" s="325" t="s">
        <v>1608</v>
      </c>
      <c r="T174" t="str">
        <f>IFERROR(VLOOKUP(ROWS($T$3:T174),$R$3:$S$992,2,0),"")</f>
        <v>Výroba základních farmaceutických výrobků</v>
      </c>
      <c r="U174">
        <f>IF(ISNUMBER(SEARCH('1Př1'!$A$33,N174)),MAX($M$2:M173)+1,0)</f>
        <v>172</v>
      </c>
      <c r="V174" s="325" t="s">
        <v>1608</v>
      </c>
      <c r="W174" t="str">
        <f>IFERROR(VLOOKUP(ROWS($W$3:W174),$U$3:$V$992,2,0),"")</f>
        <v>Výroba základních farmaceutických výrobků</v>
      </c>
      <c r="X174">
        <f>IF(ISNUMBER(SEARCH('1Př1'!$A$34,N174)),MAX($M$2:M173)+1,0)</f>
        <v>172</v>
      </c>
      <c r="Y174" s="325" t="s">
        <v>1608</v>
      </c>
      <c r="Z174" t="str">
        <f>IFERROR(VLOOKUP(ROWS($Z$3:Z174),$X$3:$Y$992,2,0),"")</f>
        <v>Výroba základních farmaceutických výrobků</v>
      </c>
    </row>
    <row r="175" spans="1:26" ht="12.75" customHeight="1">
      <c r="A175" s="301"/>
      <c r="B175" s="301"/>
      <c r="C175" s="301"/>
      <c r="D175" s="317">
        <f>IF(ISNUMBER(SEARCH(ZAKL_DATA!$B$14,E175)),MAX($D$2:D174)+1,0)</f>
        <v>173</v>
      </c>
      <c r="E175" s="330" t="s">
        <v>1610</v>
      </c>
      <c r="F175" s="331">
        <v>3202</v>
      </c>
      <c r="G175" s="332"/>
      <c r="H175" s="333" t="str">
        <f>IFERROR(VLOOKUP(ROWS($H$3:H175),$D$3:$E$204,2,0),"")</f>
        <v>OSTRAVA II</v>
      </c>
      <c r="I175" s="301"/>
      <c r="J175" s="335" t="s">
        <v>1611</v>
      </c>
      <c r="K175" s="323" t="s">
        <v>1612</v>
      </c>
      <c r="M175" s="324">
        <f>IF(ISNUMBER(SEARCH(ZAKL_DATA!$B$29,N175)),MAX($M$2:M174)+1,0)</f>
        <v>173</v>
      </c>
      <c r="N175" s="325" t="s">
        <v>1613</v>
      </c>
      <c r="O175" s="326" t="s">
        <v>1614</v>
      </c>
      <c r="Q175" s="327" t="str">
        <f>IFERROR(VLOOKUP(ROWS($Q$3:Q175),$M$3:$N$992,2,0),"")</f>
        <v>Výroba farmaceutických přípravků</v>
      </c>
      <c r="R175">
        <f>IF(ISNUMBER(SEARCH('1Př1'!$A$32,N175)),MAX($M$2:M174)+1,0)</f>
        <v>173</v>
      </c>
      <c r="S175" s="325" t="s">
        <v>1613</v>
      </c>
      <c r="T175" t="str">
        <f>IFERROR(VLOOKUP(ROWS($T$3:T175),$R$3:$S$992,2,0),"")</f>
        <v>Výroba farmaceutických přípravků</v>
      </c>
      <c r="U175">
        <f>IF(ISNUMBER(SEARCH('1Př1'!$A$33,N175)),MAX($M$2:M174)+1,0)</f>
        <v>173</v>
      </c>
      <c r="V175" s="325" t="s">
        <v>1613</v>
      </c>
      <c r="W175" t="str">
        <f>IFERROR(VLOOKUP(ROWS($W$3:W175),$U$3:$V$992,2,0),"")</f>
        <v>Výroba farmaceutických přípravků</v>
      </c>
      <c r="X175">
        <f>IF(ISNUMBER(SEARCH('1Př1'!$A$34,N175)),MAX($M$2:M174)+1,0)</f>
        <v>173</v>
      </c>
      <c r="Y175" s="325" t="s">
        <v>1613</v>
      </c>
      <c r="Z175" t="str">
        <f>IFERROR(VLOOKUP(ROWS($Z$3:Z175),$X$3:$Y$992,2,0),"")</f>
        <v>Výroba farmaceutických přípravků</v>
      </c>
    </row>
    <row r="176" spans="1:26" ht="12.75" customHeight="1">
      <c r="A176" s="301"/>
      <c r="B176" s="301"/>
      <c r="C176" s="301"/>
      <c r="D176" s="317">
        <f>IF(ISNUMBER(SEARCH(ZAKL_DATA!$B$14,E176)),MAX($D$2:D175)+1,0)</f>
        <v>174</v>
      </c>
      <c r="E176" s="330" t="s">
        <v>1615</v>
      </c>
      <c r="F176" s="331">
        <v>3203</v>
      </c>
      <c r="G176" s="332"/>
      <c r="H176" s="333" t="str">
        <f>IFERROR(VLOOKUP(ROWS($H$3:H176),$D$3:$E$204,2,0),"")</f>
        <v>OSTRAVA III</v>
      </c>
      <c r="I176" s="301"/>
      <c r="J176" s="335" t="s">
        <v>1616</v>
      </c>
      <c r="K176" s="323" t="s">
        <v>1617</v>
      </c>
      <c r="M176" s="324">
        <f>IF(ISNUMBER(SEARCH(ZAKL_DATA!$B$29,N176)),MAX($M$2:M175)+1,0)</f>
        <v>174</v>
      </c>
      <c r="N176" s="325" t="s">
        <v>1618</v>
      </c>
      <c r="O176" s="340" t="s">
        <v>1619</v>
      </c>
      <c r="Q176" s="327" t="str">
        <f>IFERROR(VLOOKUP(ROWS($Q$3:Q176),$M$3:$N$992,2,0),"")</f>
        <v>Výroba pryžových výrobků</v>
      </c>
      <c r="R176">
        <f>IF(ISNUMBER(SEARCH('1Př1'!$A$32,N176)),MAX($M$2:M175)+1,0)</f>
        <v>174</v>
      </c>
      <c r="S176" s="325" t="s">
        <v>1618</v>
      </c>
      <c r="T176" t="str">
        <f>IFERROR(VLOOKUP(ROWS($T$3:T176),$R$3:$S$992,2,0),"")</f>
        <v>Výroba pryžových výrobků</v>
      </c>
      <c r="U176">
        <f>IF(ISNUMBER(SEARCH('1Př1'!$A$33,N176)),MAX($M$2:M175)+1,0)</f>
        <v>174</v>
      </c>
      <c r="V176" s="325" t="s">
        <v>1618</v>
      </c>
      <c r="W176" t="str">
        <f>IFERROR(VLOOKUP(ROWS($W$3:W176),$U$3:$V$992,2,0),"")</f>
        <v>Výroba pryžových výrobků</v>
      </c>
      <c r="X176">
        <f>IF(ISNUMBER(SEARCH('1Př1'!$A$34,N176)),MAX($M$2:M175)+1,0)</f>
        <v>174</v>
      </c>
      <c r="Y176" s="325" t="s">
        <v>1618</v>
      </c>
      <c r="Z176" t="str">
        <f>IFERROR(VLOOKUP(ROWS($Z$3:Z176),$X$3:$Y$992,2,0),"")</f>
        <v>Výroba pryžových výrobků</v>
      </c>
    </row>
    <row r="177" spans="1:26" ht="12.75" customHeight="1">
      <c r="A177" s="301"/>
      <c r="B177" s="301"/>
      <c r="C177" s="301"/>
      <c r="D177" s="317">
        <f>IF(ISNUMBER(SEARCH(ZAKL_DATA!$B$14,E177)),MAX($D$2:D176)+1,0)</f>
        <v>175</v>
      </c>
      <c r="E177" s="330" t="s">
        <v>1620</v>
      </c>
      <c r="F177" s="331">
        <v>3204</v>
      </c>
      <c r="G177" s="332"/>
      <c r="H177" s="333" t="str">
        <f>IFERROR(VLOOKUP(ROWS($H$3:H177),$D$3:$E$204,2,0),"")</f>
        <v>BOHUMÍN</v>
      </c>
      <c r="I177" s="301"/>
      <c r="J177" s="335" t="s">
        <v>1621</v>
      </c>
      <c r="K177" s="323" t="s">
        <v>1622</v>
      </c>
      <c r="M177" s="324">
        <f>IF(ISNUMBER(SEARCH(ZAKL_DATA!$B$29,N177)),MAX($M$2:M176)+1,0)</f>
        <v>175</v>
      </c>
      <c r="N177" s="325" t="s">
        <v>1623</v>
      </c>
      <c r="O177" s="326" t="s">
        <v>1624</v>
      </c>
      <c r="Q177" s="327" t="str">
        <f>IFERROR(VLOOKUP(ROWS($Q$3:Q177),$M$3:$N$992,2,0),"")</f>
        <v>Výroba plastových výrobků</v>
      </c>
      <c r="R177">
        <f>IF(ISNUMBER(SEARCH('1Př1'!$A$32,N177)),MAX($M$2:M176)+1,0)</f>
        <v>175</v>
      </c>
      <c r="S177" s="325" t="s">
        <v>1623</v>
      </c>
      <c r="T177" t="str">
        <f>IFERROR(VLOOKUP(ROWS($T$3:T177),$R$3:$S$992,2,0),"")</f>
        <v>Výroba plastových výrobků</v>
      </c>
      <c r="U177">
        <f>IF(ISNUMBER(SEARCH('1Př1'!$A$33,N177)),MAX($M$2:M176)+1,0)</f>
        <v>175</v>
      </c>
      <c r="V177" s="325" t="s">
        <v>1623</v>
      </c>
      <c r="W177" t="str">
        <f>IFERROR(VLOOKUP(ROWS($W$3:W177),$U$3:$V$992,2,0),"")</f>
        <v>Výroba plastových výrobků</v>
      </c>
      <c r="X177">
        <f>IF(ISNUMBER(SEARCH('1Př1'!$A$34,N177)),MAX($M$2:M176)+1,0)</f>
        <v>175</v>
      </c>
      <c r="Y177" s="325" t="s">
        <v>1623</v>
      </c>
      <c r="Z177" t="str">
        <f>IFERROR(VLOOKUP(ROWS($Z$3:Z177),$X$3:$Y$992,2,0),"")</f>
        <v>Výroba plastových výrobků</v>
      </c>
    </row>
    <row r="178" spans="1:26" ht="12.75" customHeight="1">
      <c r="A178" s="301"/>
      <c r="B178" s="301"/>
      <c r="C178" s="301"/>
      <c r="D178" s="317">
        <f>IF(ISNUMBER(SEARCH(ZAKL_DATA!$B$14,E178)),MAX($D$2:D177)+1,0)</f>
        <v>176</v>
      </c>
      <c r="E178" s="330" t="s">
        <v>1625</v>
      </c>
      <c r="F178" s="331">
        <v>3205</v>
      </c>
      <c r="G178" s="332"/>
      <c r="H178" s="333" t="str">
        <f>IFERROR(VLOOKUP(ROWS($H$3:H178),$D$3:$E$204,2,0),"")</f>
        <v>BRUNTÁL</v>
      </c>
      <c r="I178" s="301"/>
      <c r="J178" s="335" t="s">
        <v>1626</v>
      </c>
      <c r="K178" s="323" t="s">
        <v>1627</v>
      </c>
      <c r="M178" s="324">
        <f>IF(ISNUMBER(SEARCH(ZAKL_DATA!$B$29,N178)),MAX($M$2:M177)+1,0)</f>
        <v>176</v>
      </c>
      <c r="N178" s="325" t="s">
        <v>1628</v>
      </c>
      <c r="O178" s="340" t="s">
        <v>1629</v>
      </c>
      <c r="Q178" s="327" t="str">
        <f>IFERROR(VLOOKUP(ROWS($Q$3:Q178),$M$3:$N$992,2,0),"")</f>
        <v>Výroba skla a skleněných výrobků</v>
      </c>
      <c r="R178">
        <f>IF(ISNUMBER(SEARCH('1Př1'!$A$32,N178)),MAX($M$2:M177)+1,0)</f>
        <v>176</v>
      </c>
      <c r="S178" s="325" t="s">
        <v>1628</v>
      </c>
      <c r="T178" t="str">
        <f>IFERROR(VLOOKUP(ROWS($T$3:T178),$R$3:$S$992,2,0),"")</f>
        <v>Výroba skla a skleněných výrobků</v>
      </c>
      <c r="U178">
        <f>IF(ISNUMBER(SEARCH('1Př1'!$A$33,N178)),MAX($M$2:M177)+1,0)</f>
        <v>176</v>
      </c>
      <c r="V178" s="325" t="s">
        <v>1628</v>
      </c>
      <c r="W178" t="str">
        <f>IFERROR(VLOOKUP(ROWS($W$3:W178),$U$3:$V$992,2,0),"")</f>
        <v>Výroba skla a skleněných výrobků</v>
      </c>
      <c r="X178">
        <f>IF(ISNUMBER(SEARCH('1Př1'!$A$34,N178)),MAX($M$2:M177)+1,0)</f>
        <v>176</v>
      </c>
      <c r="Y178" s="325" t="s">
        <v>1628</v>
      </c>
      <c r="Z178" t="str">
        <f>IFERROR(VLOOKUP(ROWS($Z$3:Z178),$X$3:$Y$992,2,0),"")</f>
        <v>Výroba skla a skleněných výrobků</v>
      </c>
    </row>
    <row r="179" spans="1:26" ht="12.75" customHeight="1">
      <c r="A179" s="301"/>
      <c r="B179" s="301"/>
      <c r="C179" s="301"/>
      <c r="D179" s="317">
        <f>IF(ISNUMBER(SEARCH(ZAKL_DATA!$B$14,E179)),MAX($D$2:D178)+1,0)</f>
        <v>177</v>
      </c>
      <c r="E179" s="330" t="s">
        <v>1630</v>
      </c>
      <c r="F179" s="331">
        <v>3206</v>
      </c>
      <c r="G179" s="332"/>
      <c r="H179" s="333" t="str">
        <f>IFERROR(VLOOKUP(ROWS($H$3:H179),$D$3:$E$204,2,0),"")</f>
        <v>ČESKÝ TĚŠÍN</v>
      </c>
      <c r="I179" s="301"/>
      <c r="J179" s="335" t="s">
        <v>1631</v>
      </c>
      <c r="K179" s="323" t="s">
        <v>1632</v>
      </c>
      <c r="M179" s="324">
        <f>IF(ISNUMBER(SEARCH(ZAKL_DATA!$B$29,N179)),MAX($M$2:M178)+1,0)</f>
        <v>177</v>
      </c>
      <c r="N179" s="325" t="s">
        <v>1633</v>
      </c>
      <c r="O179" s="340" t="s">
        <v>1634</v>
      </c>
      <c r="Q179" s="327" t="str">
        <f>IFERROR(VLOOKUP(ROWS($Q$3:Q179),$M$3:$N$992,2,0),"")</f>
        <v>Výroba žáruvzdorných výrobků</v>
      </c>
      <c r="R179">
        <f>IF(ISNUMBER(SEARCH('1Př1'!$A$32,N179)),MAX($M$2:M178)+1,0)</f>
        <v>177</v>
      </c>
      <c r="S179" s="325" t="s">
        <v>1633</v>
      </c>
      <c r="T179" t="str">
        <f>IFERROR(VLOOKUP(ROWS($T$3:T179),$R$3:$S$992,2,0),"")</f>
        <v>Výroba žáruvzdorných výrobků</v>
      </c>
      <c r="U179">
        <f>IF(ISNUMBER(SEARCH('1Př1'!$A$33,N179)),MAX($M$2:M178)+1,0)</f>
        <v>177</v>
      </c>
      <c r="V179" s="325" t="s">
        <v>1633</v>
      </c>
      <c r="W179" t="str">
        <f>IFERROR(VLOOKUP(ROWS($W$3:W179),$U$3:$V$992,2,0),"")</f>
        <v>Výroba žáruvzdorných výrobků</v>
      </c>
      <c r="X179">
        <f>IF(ISNUMBER(SEARCH('1Př1'!$A$34,N179)),MAX($M$2:M178)+1,0)</f>
        <v>177</v>
      </c>
      <c r="Y179" s="325" t="s">
        <v>1633</v>
      </c>
      <c r="Z179" t="str">
        <f>IFERROR(VLOOKUP(ROWS($Z$3:Z179),$X$3:$Y$992,2,0),"")</f>
        <v>Výroba žáruvzdorných výrobků</v>
      </c>
    </row>
    <row r="180" spans="1:26" ht="12.75" customHeight="1">
      <c r="A180" s="301"/>
      <c r="B180" s="301"/>
      <c r="C180" s="301"/>
      <c r="D180" s="317">
        <f>IF(ISNUMBER(SEARCH(ZAKL_DATA!$B$14,E180)),MAX($D$2:D179)+1,0)</f>
        <v>178</v>
      </c>
      <c r="E180" s="330" t="s">
        <v>1635</v>
      </c>
      <c r="F180" s="331">
        <v>3207</v>
      </c>
      <c r="G180" s="332"/>
      <c r="H180" s="333" t="str">
        <f>IFERROR(VLOOKUP(ROWS($H$3:H180),$D$3:$E$204,2,0),"")</f>
        <v>FRÝDEK-MÍSTEK</v>
      </c>
      <c r="I180" s="301"/>
      <c r="J180" s="335" t="s">
        <v>1636</v>
      </c>
      <c r="K180" s="323" t="s">
        <v>1637</v>
      </c>
      <c r="M180" s="324">
        <f>IF(ISNUMBER(SEARCH(ZAKL_DATA!$B$29,N180)),MAX($M$2:M179)+1,0)</f>
        <v>178</v>
      </c>
      <c r="N180" s="325" t="s">
        <v>1638</v>
      </c>
      <c r="O180" s="340" t="s">
        <v>1639</v>
      </c>
      <c r="Q180" s="327" t="str">
        <f>IFERROR(VLOOKUP(ROWS($Q$3:Q180),$M$3:$N$992,2,0),"")</f>
        <v>Výroba stavebních výrobků z jílovitých materiálů</v>
      </c>
      <c r="R180">
        <f>IF(ISNUMBER(SEARCH('1Př1'!$A$32,N180)),MAX($M$2:M179)+1,0)</f>
        <v>178</v>
      </c>
      <c r="S180" s="325" t="s">
        <v>1638</v>
      </c>
      <c r="T180" t="str">
        <f>IFERROR(VLOOKUP(ROWS($T$3:T180),$R$3:$S$992,2,0),"")</f>
        <v>Výroba stavebních výrobků z jílovitých materiálů</v>
      </c>
      <c r="U180">
        <f>IF(ISNUMBER(SEARCH('1Př1'!$A$33,N180)),MAX($M$2:M179)+1,0)</f>
        <v>178</v>
      </c>
      <c r="V180" s="325" t="s">
        <v>1638</v>
      </c>
      <c r="W180" t="str">
        <f>IFERROR(VLOOKUP(ROWS($W$3:W180),$U$3:$V$992,2,0),"")</f>
        <v>Výroba stavebních výrobků z jílovitých materiálů</v>
      </c>
      <c r="X180">
        <f>IF(ISNUMBER(SEARCH('1Př1'!$A$34,N180)),MAX($M$2:M179)+1,0)</f>
        <v>178</v>
      </c>
      <c r="Y180" s="325" t="s">
        <v>1638</v>
      </c>
      <c r="Z180" t="str">
        <f>IFERROR(VLOOKUP(ROWS($Z$3:Z180),$X$3:$Y$992,2,0),"")</f>
        <v>Výroba stavebních výrobků z jílovitých materiálů</v>
      </c>
    </row>
    <row r="181" spans="1:26" ht="12.75" customHeight="1">
      <c r="A181" s="301"/>
      <c r="B181" s="301"/>
      <c r="C181" s="301"/>
      <c r="D181" s="317">
        <f>IF(ISNUMBER(SEARCH(ZAKL_DATA!$B$14,E181)),MAX($D$2:D180)+1,0)</f>
        <v>179</v>
      </c>
      <c r="E181" s="330" t="s">
        <v>1640</v>
      </c>
      <c r="F181" s="331">
        <v>3208</v>
      </c>
      <c r="G181" s="332"/>
      <c r="H181" s="333" t="str">
        <f>IFERROR(VLOOKUP(ROWS($H$3:H181),$D$3:$E$204,2,0),"")</f>
        <v>FRÝDLANT NAD OSTRAV.</v>
      </c>
      <c r="I181" s="301"/>
      <c r="J181" s="335" t="s">
        <v>1641</v>
      </c>
      <c r="K181" s="323" t="s">
        <v>1642</v>
      </c>
      <c r="M181" s="324">
        <f>IF(ISNUMBER(SEARCH(ZAKL_DATA!$B$29,N181)),MAX($M$2:M180)+1,0)</f>
        <v>179</v>
      </c>
      <c r="N181" s="325" t="s">
        <v>1643</v>
      </c>
      <c r="O181" s="340" t="s">
        <v>1644</v>
      </c>
      <c r="Q181" s="327" t="str">
        <f>IFERROR(VLOOKUP(ROWS($Q$3:Q181),$M$3:$N$992,2,0),"")</f>
        <v>Výroba ostatních porcelánových a keramických výrobků</v>
      </c>
      <c r="R181">
        <f>IF(ISNUMBER(SEARCH('1Př1'!$A$32,N181)),MAX($M$2:M180)+1,0)</f>
        <v>179</v>
      </c>
      <c r="S181" s="325" t="s">
        <v>1643</v>
      </c>
      <c r="T181" t="str">
        <f>IFERROR(VLOOKUP(ROWS($T$3:T181),$R$3:$S$992,2,0),"")</f>
        <v>Výroba ostatních porcelánových a keramických výrobků</v>
      </c>
      <c r="U181">
        <f>IF(ISNUMBER(SEARCH('1Př1'!$A$33,N181)),MAX($M$2:M180)+1,0)</f>
        <v>179</v>
      </c>
      <c r="V181" s="325" t="s">
        <v>1643</v>
      </c>
      <c r="W181" t="str">
        <f>IFERROR(VLOOKUP(ROWS($W$3:W181),$U$3:$V$992,2,0),"")</f>
        <v>Výroba ostatních porcelánových a keramických výrobků</v>
      </c>
      <c r="X181">
        <f>IF(ISNUMBER(SEARCH('1Př1'!$A$34,N181)),MAX($M$2:M180)+1,0)</f>
        <v>179</v>
      </c>
      <c r="Y181" s="325" t="s">
        <v>1643</v>
      </c>
      <c r="Z181" t="str">
        <f>IFERROR(VLOOKUP(ROWS($Z$3:Z181),$X$3:$Y$992,2,0),"")</f>
        <v>Výroba ostatních porcelánových a keramických výrobků</v>
      </c>
    </row>
    <row r="182" spans="1:26" ht="12.75" customHeight="1">
      <c r="A182" s="301"/>
      <c r="B182" s="301"/>
      <c r="C182" s="301"/>
      <c r="D182" s="317">
        <f>IF(ISNUMBER(SEARCH(ZAKL_DATA!$B$14,E182)),MAX($D$2:D181)+1,0)</f>
        <v>180</v>
      </c>
      <c r="E182" s="330" t="s">
        <v>1645</v>
      </c>
      <c r="F182" s="331">
        <v>3209</v>
      </c>
      <c r="G182" s="332"/>
      <c r="H182" s="333" t="str">
        <f>IFERROR(VLOOKUP(ROWS($H$3:H182),$D$3:$E$204,2,0),"")</f>
        <v>FULNEK</v>
      </c>
      <c r="I182" s="301"/>
      <c r="J182" s="335" t="s">
        <v>1646</v>
      </c>
      <c r="K182" s="323" t="s">
        <v>1647</v>
      </c>
      <c r="M182" s="324">
        <f>IF(ISNUMBER(SEARCH(ZAKL_DATA!$B$29,N182)),MAX($M$2:M181)+1,0)</f>
        <v>180</v>
      </c>
      <c r="N182" s="325" t="s">
        <v>1648</v>
      </c>
      <c r="O182" s="340" t="s">
        <v>1649</v>
      </c>
      <c r="Q182" s="327" t="str">
        <f>IFERROR(VLOOKUP(ROWS($Q$3:Q182),$M$3:$N$992,2,0),"")</f>
        <v>Výroba cementu, vápna a sádry</v>
      </c>
      <c r="R182">
        <f>IF(ISNUMBER(SEARCH('1Př1'!$A$32,N182)),MAX($M$2:M181)+1,0)</f>
        <v>180</v>
      </c>
      <c r="S182" s="325" t="s">
        <v>1648</v>
      </c>
      <c r="T182" t="str">
        <f>IFERROR(VLOOKUP(ROWS($T$3:T182),$R$3:$S$992,2,0),"")</f>
        <v>Výroba cementu, vápna a sádry</v>
      </c>
      <c r="U182">
        <f>IF(ISNUMBER(SEARCH('1Př1'!$A$33,N182)),MAX($M$2:M181)+1,0)</f>
        <v>180</v>
      </c>
      <c r="V182" s="325" t="s">
        <v>1648</v>
      </c>
      <c r="W182" t="str">
        <f>IFERROR(VLOOKUP(ROWS($W$3:W182),$U$3:$V$992,2,0),"")</f>
        <v>Výroba cementu, vápna a sádry</v>
      </c>
      <c r="X182">
        <f>IF(ISNUMBER(SEARCH('1Př1'!$A$34,N182)),MAX($M$2:M181)+1,0)</f>
        <v>180</v>
      </c>
      <c r="Y182" s="325" t="s">
        <v>1648</v>
      </c>
      <c r="Z182" t="str">
        <f>IFERROR(VLOOKUP(ROWS($Z$3:Z182),$X$3:$Y$992,2,0),"")</f>
        <v>Výroba cementu, vápna a sádry</v>
      </c>
    </row>
    <row r="183" spans="1:26" ht="12.75" customHeight="1">
      <c r="A183" s="301"/>
      <c r="B183" s="301"/>
      <c r="C183" s="301"/>
      <c r="D183" s="317">
        <f>IF(ISNUMBER(SEARCH(ZAKL_DATA!$B$14,E183)),MAX($D$2:D182)+1,0)</f>
        <v>181</v>
      </c>
      <c r="E183" s="330" t="s">
        <v>1650</v>
      </c>
      <c r="F183" s="331">
        <v>3210</v>
      </c>
      <c r="G183" s="332"/>
      <c r="H183" s="333" t="str">
        <f>IFERROR(VLOOKUP(ROWS($H$3:H183),$D$3:$E$204,2,0),"")</f>
        <v>HAVÍŘOV</v>
      </c>
      <c r="I183" s="301"/>
      <c r="J183" s="335" t="s">
        <v>1651</v>
      </c>
      <c r="K183" s="323" t="s">
        <v>1652</v>
      </c>
      <c r="M183" s="324">
        <f>IF(ISNUMBER(SEARCH(ZAKL_DATA!$B$29,N183)),MAX($M$2:M182)+1,0)</f>
        <v>181</v>
      </c>
      <c r="N183" s="325" t="s">
        <v>1653</v>
      </c>
      <c r="O183" s="340" t="s">
        <v>1654</v>
      </c>
      <c r="Q183" s="327" t="str">
        <f>IFERROR(VLOOKUP(ROWS($Q$3:Q183),$M$3:$N$992,2,0),"")</f>
        <v>Výroba betonových, cementových a sádrových výrobků</v>
      </c>
      <c r="R183">
        <f>IF(ISNUMBER(SEARCH('1Př1'!$A$32,N183)),MAX($M$2:M182)+1,0)</f>
        <v>181</v>
      </c>
      <c r="S183" s="325" t="s">
        <v>1653</v>
      </c>
      <c r="T183" t="str">
        <f>IFERROR(VLOOKUP(ROWS($T$3:T183),$R$3:$S$992,2,0),"")</f>
        <v>Výroba betonových, cementových a sádrových výrobků</v>
      </c>
      <c r="U183">
        <f>IF(ISNUMBER(SEARCH('1Př1'!$A$33,N183)),MAX($M$2:M182)+1,0)</f>
        <v>181</v>
      </c>
      <c r="V183" s="325" t="s">
        <v>1653</v>
      </c>
      <c r="W183" t="str">
        <f>IFERROR(VLOOKUP(ROWS($W$3:W183),$U$3:$V$992,2,0),"")</f>
        <v>Výroba betonových, cementových a sádrových výrobků</v>
      </c>
      <c r="X183">
        <f>IF(ISNUMBER(SEARCH('1Př1'!$A$34,N183)),MAX($M$2:M182)+1,0)</f>
        <v>181</v>
      </c>
      <c r="Y183" s="325" t="s">
        <v>1653</v>
      </c>
      <c r="Z183" t="str">
        <f>IFERROR(VLOOKUP(ROWS($Z$3:Z183),$X$3:$Y$992,2,0),"")</f>
        <v>Výroba betonových, cementových a sádrových výrobků</v>
      </c>
    </row>
    <row r="184" spans="1:26" ht="12.75" customHeight="1">
      <c r="A184" s="301"/>
      <c r="B184" s="301"/>
      <c r="C184" s="301"/>
      <c r="D184" s="317">
        <f>IF(ISNUMBER(SEARCH(ZAKL_DATA!$B$14,E184)),MAX($D$2:D183)+1,0)</f>
        <v>182</v>
      </c>
      <c r="E184" s="330" t="s">
        <v>1655</v>
      </c>
      <c r="F184" s="331">
        <v>3211</v>
      </c>
      <c r="G184" s="332"/>
      <c r="H184" s="333" t="str">
        <f>IFERROR(VLOOKUP(ROWS($H$3:H184),$D$3:$E$204,2,0),"")</f>
        <v>HLUČÍN</v>
      </c>
      <c r="I184" s="301"/>
      <c r="J184" s="335" t="s">
        <v>1656</v>
      </c>
      <c r="K184" s="323" t="s">
        <v>1657</v>
      </c>
      <c r="M184" s="324">
        <f>IF(ISNUMBER(SEARCH(ZAKL_DATA!$B$29,N184)),MAX($M$2:M183)+1,0)</f>
        <v>182</v>
      </c>
      <c r="N184" s="325" t="s">
        <v>1658</v>
      </c>
      <c r="O184" s="340" t="s">
        <v>1659</v>
      </c>
      <c r="Q184" s="327" t="str">
        <f>IFERROR(VLOOKUP(ROWS($Q$3:Q184),$M$3:$N$992,2,0),"")</f>
        <v>Řezání, tvarování a konečná úprava kamenů</v>
      </c>
      <c r="R184">
        <f>IF(ISNUMBER(SEARCH('1Př1'!$A$32,N184)),MAX($M$2:M183)+1,0)</f>
        <v>182</v>
      </c>
      <c r="S184" s="325" t="s">
        <v>1658</v>
      </c>
      <c r="T184" t="str">
        <f>IFERROR(VLOOKUP(ROWS($T$3:T184),$R$3:$S$992,2,0),"")</f>
        <v>Řezání, tvarování a konečná úprava kamenů</v>
      </c>
      <c r="U184">
        <f>IF(ISNUMBER(SEARCH('1Př1'!$A$33,N184)),MAX($M$2:M183)+1,0)</f>
        <v>182</v>
      </c>
      <c r="V184" s="325" t="s">
        <v>1658</v>
      </c>
      <c r="W184" t="str">
        <f>IFERROR(VLOOKUP(ROWS($W$3:W184),$U$3:$V$992,2,0),"")</f>
        <v>Řezání, tvarování a konečná úprava kamenů</v>
      </c>
      <c r="X184">
        <f>IF(ISNUMBER(SEARCH('1Př1'!$A$34,N184)),MAX($M$2:M183)+1,0)</f>
        <v>182</v>
      </c>
      <c r="Y184" s="325" t="s">
        <v>1658</v>
      </c>
      <c r="Z184" t="str">
        <f>IFERROR(VLOOKUP(ROWS($Z$3:Z184),$X$3:$Y$992,2,0),"")</f>
        <v>Řezání, tvarování a konečná úprava kamenů</v>
      </c>
    </row>
    <row r="185" spans="1:26" ht="12.75" customHeight="1">
      <c r="A185" s="301"/>
      <c r="B185" s="301"/>
      <c r="C185" s="301"/>
      <c r="D185" s="317">
        <f>IF(ISNUMBER(SEARCH(ZAKL_DATA!$B$14,E185)),MAX($D$2:D184)+1,0)</f>
        <v>183</v>
      </c>
      <c r="E185" s="330" t="s">
        <v>1660</v>
      </c>
      <c r="F185" s="331">
        <v>3212</v>
      </c>
      <c r="G185" s="332"/>
      <c r="H185" s="333" t="str">
        <f>IFERROR(VLOOKUP(ROWS($H$3:H185),$D$3:$E$204,2,0),"")</f>
        <v>KARVINÁ</v>
      </c>
      <c r="I185" s="301"/>
      <c r="J185" s="335" t="s">
        <v>1661</v>
      </c>
      <c r="K185" s="323" t="s">
        <v>1662</v>
      </c>
      <c r="M185" s="324">
        <f>IF(ISNUMBER(SEARCH(ZAKL_DATA!$B$29,N185)),MAX($M$2:M184)+1,0)</f>
        <v>183</v>
      </c>
      <c r="N185" s="325" t="s">
        <v>1663</v>
      </c>
      <c r="O185" s="326" t="s">
        <v>1664</v>
      </c>
      <c r="Q185" s="327" t="str">
        <f>IFERROR(VLOOKUP(ROWS($Q$3:Q185),$M$3:$N$992,2,0),"")</f>
        <v>Výroba brusiv a ostatních nekovových minerálních výrobků j. n.</v>
      </c>
      <c r="R185">
        <f>IF(ISNUMBER(SEARCH('1Př1'!$A$32,N185)),MAX($M$2:M184)+1,0)</f>
        <v>183</v>
      </c>
      <c r="S185" s="325" t="s">
        <v>1663</v>
      </c>
      <c r="T185" t="str">
        <f>IFERROR(VLOOKUP(ROWS($T$3:T185),$R$3:$S$992,2,0),"")</f>
        <v>Výroba brusiv a ostatních nekovových minerálních výrobků j. n.</v>
      </c>
      <c r="U185">
        <f>IF(ISNUMBER(SEARCH('1Př1'!$A$33,N185)),MAX($M$2:M184)+1,0)</f>
        <v>183</v>
      </c>
      <c r="V185" s="325" t="s">
        <v>1663</v>
      </c>
      <c r="W185" t="str">
        <f>IFERROR(VLOOKUP(ROWS($W$3:W185),$U$3:$V$992,2,0),"")</f>
        <v>Výroba brusiv a ostatních nekovových minerálních výrobků j. n.</v>
      </c>
      <c r="X185">
        <f>IF(ISNUMBER(SEARCH('1Př1'!$A$34,N185)),MAX($M$2:M184)+1,0)</f>
        <v>183</v>
      </c>
      <c r="Y185" s="325" t="s">
        <v>1663</v>
      </c>
      <c r="Z185" t="str">
        <f>IFERROR(VLOOKUP(ROWS($Z$3:Z185),$X$3:$Y$992,2,0),"")</f>
        <v>Výroba brusiv a ostatních nekovových minerálních výrobků j. n.</v>
      </c>
    </row>
    <row r="186" spans="1:26" ht="12.75" customHeight="1">
      <c r="A186" s="301"/>
      <c r="B186" s="301"/>
      <c r="C186" s="301"/>
      <c r="D186" s="317">
        <f>IF(ISNUMBER(SEARCH(ZAKL_DATA!$B$14,E186)),MAX($D$2:D185)+1,0)</f>
        <v>184</v>
      </c>
      <c r="E186" s="330" t="s">
        <v>1665</v>
      </c>
      <c r="F186" s="331">
        <v>3213</v>
      </c>
      <c r="G186" s="332"/>
      <c r="H186" s="333" t="str">
        <f>IFERROR(VLOOKUP(ROWS($H$3:H186),$D$3:$E$204,2,0),"")</f>
        <v>KOPŘIVNICE</v>
      </c>
      <c r="I186" s="301"/>
      <c r="J186" s="335" t="s">
        <v>1666</v>
      </c>
      <c r="K186" s="323" t="s">
        <v>1667</v>
      </c>
      <c r="M186" s="324">
        <f>IF(ISNUMBER(SEARCH(ZAKL_DATA!$B$29,N186)),MAX($M$2:M185)+1,0)</f>
        <v>184</v>
      </c>
      <c r="N186" s="325" t="s">
        <v>1668</v>
      </c>
      <c r="O186" s="326" t="s">
        <v>1669</v>
      </c>
      <c r="Q186" s="327" t="str">
        <f>IFERROR(VLOOKUP(ROWS($Q$3:Q186),$M$3:$N$992,2,0),"")</f>
        <v>Výroba sur.železa,oceli a feroslitin,ploch.výr.,tváření výrobků za tepla</v>
      </c>
      <c r="R186">
        <f>IF(ISNUMBER(SEARCH('1Př1'!$A$32,N186)),MAX($M$2:M185)+1,0)</f>
        <v>184</v>
      </c>
      <c r="S186" s="325" t="s">
        <v>1668</v>
      </c>
      <c r="T186" t="str">
        <f>IFERROR(VLOOKUP(ROWS($T$3:T186),$R$3:$S$992,2,0),"")</f>
        <v>Výroba sur.železa,oceli a feroslitin,ploch.výr.,tváření výrobků za tepla</v>
      </c>
      <c r="U186">
        <f>IF(ISNUMBER(SEARCH('1Př1'!$A$33,N186)),MAX($M$2:M185)+1,0)</f>
        <v>184</v>
      </c>
      <c r="V186" s="325" t="s">
        <v>1668</v>
      </c>
      <c r="W186" t="str">
        <f>IFERROR(VLOOKUP(ROWS($W$3:W186),$U$3:$V$992,2,0),"")</f>
        <v>Výroba sur.železa,oceli a feroslitin,ploch.výr.,tváření výrobků za tepla</v>
      </c>
      <c r="X186">
        <f>IF(ISNUMBER(SEARCH('1Př1'!$A$34,N186)),MAX($M$2:M185)+1,0)</f>
        <v>184</v>
      </c>
      <c r="Y186" s="325" t="s">
        <v>1668</v>
      </c>
      <c r="Z186" t="str">
        <f>IFERROR(VLOOKUP(ROWS($Z$3:Z186),$X$3:$Y$992,2,0),"")</f>
        <v>Výroba sur.železa,oceli a feroslitin,ploch.výr.,tváření výrobků za tepla</v>
      </c>
    </row>
    <row r="187" spans="1:26" ht="12.75" customHeight="1">
      <c r="A187" s="301"/>
      <c r="B187" s="301"/>
      <c r="C187" s="301"/>
      <c r="D187" s="317">
        <f>IF(ISNUMBER(SEARCH(ZAKL_DATA!$B$14,E187)),MAX($D$2:D186)+1,0)</f>
        <v>185</v>
      </c>
      <c r="E187" s="330" t="s">
        <v>1670</v>
      </c>
      <c r="F187" s="331">
        <v>3214</v>
      </c>
      <c r="G187" s="332"/>
      <c r="H187" s="333" t="str">
        <f>IFERROR(VLOOKUP(ROWS($H$3:H187),$D$3:$E$204,2,0),"")</f>
        <v>KRNOV</v>
      </c>
      <c r="I187" s="301"/>
      <c r="J187" s="335" t="s">
        <v>1671</v>
      </c>
      <c r="K187" s="323" t="s">
        <v>1672</v>
      </c>
      <c r="M187" s="324">
        <f>IF(ISNUMBER(SEARCH(ZAKL_DATA!$B$29,N187)),MAX($M$2:M186)+1,0)</f>
        <v>185</v>
      </c>
      <c r="N187" s="325" t="s">
        <v>1673</v>
      </c>
      <c r="O187" s="340" t="s">
        <v>1674</v>
      </c>
      <c r="Q187" s="327" t="str">
        <f>IFERROR(VLOOKUP(ROWS($Q$3:Q187),$M$3:$N$992,2,0),"")</f>
        <v>Výroba ocelových trub,trubek,dutých profilů a souvis.potrubních tvarovek</v>
      </c>
      <c r="R187">
        <f>IF(ISNUMBER(SEARCH('1Př1'!$A$32,N187)),MAX($M$2:M186)+1,0)</f>
        <v>185</v>
      </c>
      <c r="S187" s="325" t="s">
        <v>1673</v>
      </c>
      <c r="T187" t="str">
        <f>IFERROR(VLOOKUP(ROWS($T$3:T187),$R$3:$S$992,2,0),"")</f>
        <v>Výroba ocelových trub,trubek,dutých profilů a souvis.potrubních tvarovek</v>
      </c>
      <c r="U187">
        <f>IF(ISNUMBER(SEARCH('1Př1'!$A$33,N187)),MAX($M$2:M186)+1,0)</f>
        <v>185</v>
      </c>
      <c r="V187" s="325" t="s">
        <v>1673</v>
      </c>
      <c r="W187" t="str">
        <f>IFERROR(VLOOKUP(ROWS($W$3:W187),$U$3:$V$992,2,0),"")</f>
        <v>Výroba ocelových trub,trubek,dutých profilů a souvis.potrubních tvarovek</v>
      </c>
      <c r="X187">
        <f>IF(ISNUMBER(SEARCH('1Př1'!$A$34,N187)),MAX($M$2:M186)+1,0)</f>
        <v>185</v>
      </c>
      <c r="Y187" s="325" t="s">
        <v>1673</v>
      </c>
      <c r="Z187" t="str">
        <f>IFERROR(VLOOKUP(ROWS($Z$3:Z187),$X$3:$Y$992,2,0),"")</f>
        <v>Výroba ocelových trub,trubek,dutých profilů a souvis.potrubních tvarovek</v>
      </c>
    </row>
    <row r="188" spans="1:26" ht="12.75" customHeight="1">
      <c r="A188" s="301"/>
      <c r="B188" s="301"/>
      <c r="C188" s="301"/>
      <c r="D188" s="317">
        <f>IF(ISNUMBER(SEARCH(ZAKL_DATA!$B$14,E188)),MAX($D$2:D187)+1,0)</f>
        <v>186</v>
      </c>
      <c r="E188" s="330" t="s">
        <v>1675</v>
      </c>
      <c r="F188" s="331">
        <v>3215</v>
      </c>
      <c r="G188" s="332"/>
      <c r="H188" s="333" t="str">
        <f>IFERROR(VLOOKUP(ROWS($H$3:H188),$D$3:$E$204,2,0),"")</f>
        <v>NOVÝ JIČÍN</v>
      </c>
      <c r="I188" s="301"/>
      <c r="J188" s="335" t="s">
        <v>1676</v>
      </c>
      <c r="K188" s="323" t="s">
        <v>1677</v>
      </c>
      <c r="M188" s="324">
        <f>IF(ISNUMBER(SEARCH(ZAKL_DATA!$B$29,N188)),MAX($M$2:M187)+1,0)</f>
        <v>186</v>
      </c>
      <c r="N188" s="325" t="s">
        <v>1678</v>
      </c>
      <c r="O188" s="326" t="s">
        <v>1679</v>
      </c>
      <c r="Q188" s="327" t="str">
        <f>IFERROR(VLOOKUP(ROWS($Q$3:Q188),$M$3:$N$992,2,0),"")</f>
        <v>Výroba ostatních výrobků získaných jednostupňovým zpracováním oceli</v>
      </c>
      <c r="R188">
        <f>IF(ISNUMBER(SEARCH('1Př1'!$A$32,N188)),MAX($M$2:M187)+1,0)</f>
        <v>186</v>
      </c>
      <c r="S188" s="325" t="s">
        <v>1678</v>
      </c>
      <c r="T188" t="str">
        <f>IFERROR(VLOOKUP(ROWS($T$3:T188),$R$3:$S$992,2,0),"")</f>
        <v>Výroba ostatních výrobků získaných jednostupňovým zpracováním oceli</v>
      </c>
      <c r="U188">
        <f>IF(ISNUMBER(SEARCH('1Př1'!$A$33,N188)),MAX($M$2:M187)+1,0)</f>
        <v>186</v>
      </c>
      <c r="V188" s="325" t="s">
        <v>1678</v>
      </c>
      <c r="W188" t="str">
        <f>IFERROR(VLOOKUP(ROWS($W$3:W188),$U$3:$V$992,2,0),"")</f>
        <v>Výroba ostatních výrobků získaných jednostupňovým zpracováním oceli</v>
      </c>
      <c r="X188">
        <f>IF(ISNUMBER(SEARCH('1Př1'!$A$34,N188)),MAX($M$2:M187)+1,0)</f>
        <v>186</v>
      </c>
      <c r="Y188" s="325" t="s">
        <v>1678</v>
      </c>
      <c r="Z188" t="str">
        <f>IFERROR(VLOOKUP(ROWS($Z$3:Z188),$X$3:$Y$992,2,0),"")</f>
        <v>Výroba ostatních výrobků získaných jednostupňovým zpracováním oceli</v>
      </c>
    </row>
    <row r="189" spans="1:26" ht="12.75" customHeight="1">
      <c r="A189" s="301"/>
      <c r="B189" s="301"/>
      <c r="C189" s="301"/>
      <c r="D189" s="317">
        <f>IF(ISNUMBER(SEARCH(ZAKL_DATA!$B$14,E189)),MAX($D$2:D188)+1,0)</f>
        <v>187</v>
      </c>
      <c r="E189" s="330" t="s">
        <v>1680</v>
      </c>
      <c r="F189" s="331">
        <v>3216</v>
      </c>
      <c r="G189" s="332"/>
      <c r="H189" s="333" t="str">
        <f>IFERROR(VLOOKUP(ROWS($H$3:H189),$D$3:$E$204,2,0),"")</f>
        <v>OPAVA</v>
      </c>
      <c r="I189" s="301"/>
      <c r="J189" s="335" t="s">
        <v>1681</v>
      </c>
      <c r="K189" s="323" t="s">
        <v>1682</v>
      </c>
      <c r="M189" s="324">
        <f>IF(ISNUMBER(SEARCH(ZAKL_DATA!$B$29,N189)),MAX($M$2:M188)+1,0)</f>
        <v>187</v>
      </c>
      <c r="N189" s="325" t="s">
        <v>1683</v>
      </c>
      <c r="O189" s="340" t="s">
        <v>1684</v>
      </c>
      <c r="Q189" s="327" t="str">
        <f>IFERROR(VLOOKUP(ROWS($Q$3:Q189),$M$3:$N$992,2,0),"")</f>
        <v>Výroba a hutní zpracování drahých a neželezných kovů</v>
      </c>
      <c r="R189">
        <f>IF(ISNUMBER(SEARCH('1Př1'!$A$32,N189)),MAX($M$2:M188)+1,0)</f>
        <v>187</v>
      </c>
      <c r="S189" s="325" t="s">
        <v>1683</v>
      </c>
      <c r="T189" t="str">
        <f>IFERROR(VLOOKUP(ROWS($T$3:T189),$R$3:$S$992,2,0),"")</f>
        <v>Výroba a hutní zpracování drahých a neželezných kovů</v>
      </c>
      <c r="U189">
        <f>IF(ISNUMBER(SEARCH('1Př1'!$A$33,N189)),MAX($M$2:M188)+1,0)</f>
        <v>187</v>
      </c>
      <c r="V189" s="325" t="s">
        <v>1683</v>
      </c>
      <c r="W189" t="str">
        <f>IFERROR(VLOOKUP(ROWS($W$3:W189),$U$3:$V$992,2,0),"")</f>
        <v>Výroba a hutní zpracování drahých a neželezných kovů</v>
      </c>
      <c r="X189">
        <f>IF(ISNUMBER(SEARCH('1Př1'!$A$34,N189)),MAX($M$2:M188)+1,0)</f>
        <v>187</v>
      </c>
      <c r="Y189" s="325" t="s">
        <v>1683</v>
      </c>
      <c r="Z189" t="str">
        <f>IFERROR(VLOOKUP(ROWS($Z$3:Z189),$X$3:$Y$992,2,0),"")</f>
        <v>Výroba a hutní zpracování drahých a neželezných kovů</v>
      </c>
    </row>
    <row r="190" spans="1:26" ht="12.75" customHeight="1">
      <c r="A190" s="301"/>
      <c r="B190" s="301"/>
      <c r="C190" s="301"/>
      <c r="D190" s="317">
        <f>IF(ISNUMBER(SEARCH(ZAKL_DATA!$B$14,E190)),MAX($D$2:D189)+1,0)</f>
        <v>188</v>
      </c>
      <c r="E190" s="330" t="s">
        <v>1685</v>
      </c>
      <c r="F190" s="331">
        <v>3217</v>
      </c>
      <c r="G190" s="332"/>
      <c r="H190" s="333" t="str">
        <f>IFERROR(VLOOKUP(ROWS($H$3:H190),$D$3:$E$204,2,0),"")</f>
        <v>ORLOVÁ</v>
      </c>
      <c r="I190" s="301"/>
      <c r="J190" s="335" t="s">
        <v>1686</v>
      </c>
      <c r="K190" s="323" t="s">
        <v>1687</v>
      </c>
      <c r="M190" s="324">
        <f>IF(ISNUMBER(SEARCH(ZAKL_DATA!$B$29,N190)),MAX($M$2:M189)+1,0)</f>
        <v>188</v>
      </c>
      <c r="N190" s="325" t="s">
        <v>1688</v>
      </c>
      <c r="O190" s="326" t="s">
        <v>1689</v>
      </c>
      <c r="Q190" s="327" t="str">
        <f>IFERROR(VLOOKUP(ROWS($Q$3:Q190),$M$3:$N$992,2,0),"")</f>
        <v>Slévárenství</v>
      </c>
      <c r="R190">
        <f>IF(ISNUMBER(SEARCH('1Př1'!$A$32,N190)),MAX($M$2:M189)+1,0)</f>
        <v>188</v>
      </c>
      <c r="S190" s="325" t="s">
        <v>1688</v>
      </c>
      <c r="T190" t="str">
        <f>IFERROR(VLOOKUP(ROWS($T$3:T190),$R$3:$S$992,2,0),"")</f>
        <v>Slévárenství</v>
      </c>
      <c r="U190">
        <f>IF(ISNUMBER(SEARCH('1Př1'!$A$33,N190)),MAX($M$2:M189)+1,0)</f>
        <v>188</v>
      </c>
      <c r="V190" s="325" t="s">
        <v>1688</v>
      </c>
      <c r="W190" t="str">
        <f>IFERROR(VLOOKUP(ROWS($W$3:W190),$U$3:$V$992,2,0),"")</f>
        <v>Slévárenství</v>
      </c>
      <c r="X190">
        <f>IF(ISNUMBER(SEARCH('1Př1'!$A$34,N190)),MAX($M$2:M189)+1,0)</f>
        <v>188</v>
      </c>
      <c r="Y190" s="325" t="s">
        <v>1688</v>
      </c>
      <c r="Z190" t="str">
        <f>IFERROR(VLOOKUP(ROWS($Z$3:Z190),$X$3:$Y$992,2,0),"")</f>
        <v>Slévárenství</v>
      </c>
    </row>
    <row r="191" spans="1:26" ht="12.75" customHeight="1">
      <c r="A191" s="301"/>
      <c r="B191" s="301"/>
      <c r="C191" s="301"/>
      <c r="D191" s="317">
        <f>IF(ISNUMBER(SEARCH(ZAKL_DATA!$B$14,E191)),MAX($D$2:D190)+1,0)</f>
        <v>189</v>
      </c>
      <c r="E191" s="330" t="s">
        <v>1690</v>
      </c>
      <c r="F191" s="331">
        <v>3218</v>
      </c>
      <c r="G191" s="332"/>
      <c r="H191" s="333" t="str">
        <f>IFERROR(VLOOKUP(ROWS($H$3:H191),$D$3:$E$204,2,0),"")</f>
        <v>TŘINEC</v>
      </c>
      <c r="I191" s="301"/>
      <c r="J191" s="335" t="s">
        <v>1691</v>
      </c>
      <c r="K191" s="323" t="s">
        <v>1692</v>
      </c>
      <c r="M191" s="324">
        <f>IF(ISNUMBER(SEARCH(ZAKL_DATA!$B$29,N191)),MAX($M$2:M190)+1,0)</f>
        <v>189</v>
      </c>
      <c r="N191" s="325" t="s">
        <v>1693</v>
      </c>
      <c r="O191" s="340" t="s">
        <v>1694</v>
      </c>
      <c r="Q191" s="327" t="str">
        <f>IFERROR(VLOOKUP(ROWS($Q$3:Q191),$M$3:$N$992,2,0),"")</f>
        <v>Výroba konstrukčních kovových výrobků</v>
      </c>
      <c r="R191">
        <f>IF(ISNUMBER(SEARCH('1Př1'!$A$32,N191)),MAX($M$2:M190)+1,0)</f>
        <v>189</v>
      </c>
      <c r="S191" s="325" t="s">
        <v>1693</v>
      </c>
      <c r="T191" t="str">
        <f>IFERROR(VLOOKUP(ROWS($T$3:T191),$R$3:$S$992,2,0),"")</f>
        <v>Výroba konstrukčních kovových výrobků</v>
      </c>
      <c r="U191">
        <f>IF(ISNUMBER(SEARCH('1Př1'!$A$33,N191)),MAX($M$2:M190)+1,0)</f>
        <v>189</v>
      </c>
      <c r="V191" s="325" t="s">
        <v>1693</v>
      </c>
      <c r="W191" t="str">
        <f>IFERROR(VLOOKUP(ROWS($W$3:W191),$U$3:$V$992,2,0),"")</f>
        <v>Výroba konstrukčních kovových výrobků</v>
      </c>
      <c r="X191">
        <f>IF(ISNUMBER(SEARCH('1Př1'!$A$34,N191)),MAX($M$2:M190)+1,0)</f>
        <v>189</v>
      </c>
      <c r="Y191" s="325" t="s">
        <v>1693</v>
      </c>
      <c r="Z191" t="str">
        <f>IFERROR(VLOOKUP(ROWS($Z$3:Z191),$X$3:$Y$992,2,0),"")</f>
        <v>Výroba konstrukčních kovových výrobků</v>
      </c>
    </row>
    <row r="192" spans="1:26" ht="12.75" customHeight="1">
      <c r="A192" s="301"/>
      <c r="B192" s="301"/>
      <c r="C192" s="301"/>
      <c r="D192" s="317">
        <f>IF(ISNUMBER(SEARCH(ZAKL_DATA!$B$14,E192)),MAX($D$2:D191)+1,0)</f>
        <v>190</v>
      </c>
      <c r="E192" s="330" t="s">
        <v>1695</v>
      </c>
      <c r="F192" s="331">
        <v>3301</v>
      </c>
      <c r="G192" s="332"/>
      <c r="H192" s="333" t="str">
        <f>IFERROR(VLOOKUP(ROWS($H$3:H192),$D$3:$E$204,2,0),"")</f>
        <v>ZLÍN</v>
      </c>
      <c r="I192" s="301"/>
      <c r="J192" s="335" t="s">
        <v>1696</v>
      </c>
      <c r="K192" s="323" t="s">
        <v>1697</v>
      </c>
      <c r="M192" s="324">
        <f>IF(ISNUMBER(SEARCH(ZAKL_DATA!$B$29,N192)),MAX($M$2:M191)+1,0)</f>
        <v>190</v>
      </c>
      <c r="N192" s="325" t="s">
        <v>1698</v>
      </c>
      <c r="O192" s="340" t="s">
        <v>1699</v>
      </c>
      <c r="Q192" s="327" t="str">
        <f>IFERROR(VLOOKUP(ROWS($Q$3:Q192),$M$3:$N$992,2,0),"")</f>
        <v>Výroba radiátorů a kotlů k ústřednímu topení, kovových nádrží a zásobníků</v>
      </c>
      <c r="R192">
        <f>IF(ISNUMBER(SEARCH('1Př1'!$A$32,N192)),MAX($M$2:M191)+1,0)</f>
        <v>190</v>
      </c>
      <c r="S192" s="325" t="s">
        <v>1698</v>
      </c>
      <c r="T192" t="str">
        <f>IFERROR(VLOOKUP(ROWS($T$3:T192),$R$3:$S$992,2,0),"")</f>
        <v>Výroba radiátorů a kotlů k ústřednímu topení, kovových nádrží a zásobníků</v>
      </c>
      <c r="U192">
        <f>IF(ISNUMBER(SEARCH('1Př1'!$A$33,N192)),MAX($M$2:M191)+1,0)</f>
        <v>190</v>
      </c>
      <c r="V192" s="325" t="s">
        <v>1698</v>
      </c>
      <c r="W192" t="str">
        <f>IFERROR(VLOOKUP(ROWS($W$3:W192),$U$3:$V$992,2,0),"")</f>
        <v>Výroba radiátorů a kotlů k ústřednímu topení, kovových nádrží a zásobníků</v>
      </c>
      <c r="X192">
        <f>IF(ISNUMBER(SEARCH('1Př1'!$A$34,N192)),MAX($M$2:M191)+1,0)</f>
        <v>190</v>
      </c>
      <c r="Y192" s="325" t="s">
        <v>1698</v>
      </c>
      <c r="Z192" t="str">
        <f>IFERROR(VLOOKUP(ROWS($Z$3:Z192),$X$3:$Y$992,2,0),"")</f>
        <v>Výroba radiátorů a kotlů k ústřednímu topení, kovových nádrží a zásobníků</v>
      </c>
    </row>
    <row r="193" spans="1:26" ht="12.75" customHeight="1">
      <c r="A193" s="301"/>
      <c r="B193" s="301"/>
      <c r="C193" s="301"/>
      <c r="D193" s="317">
        <f>IF(ISNUMBER(SEARCH(ZAKL_DATA!$B$14,E193)),MAX($D$2:D192)+1,0)</f>
        <v>191</v>
      </c>
      <c r="E193" s="330" t="s">
        <v>1700</v>
      </c>
      <c r="F193" s="331">
        <v>3302</v>
      </c>
      <c r="G193" s="332"/>
      <c r="H193" s="333" t="str">
        <f>IFERROR(VLOOKUP(ROWS($H$3:H193),$D$3:$E$204,2,0),"")</f>
        <v>BYSTŘICE POD HOSTÝNEM</v>
      </c>
      <c r="I193" s="301"/>
      <c r="J193" s="335" t="s">
        <v>1701</v>
      </c>
      <c r="K193" s="323" t="s">
        <v>1702</v>
      </c>
      <c r="M193" s="324">
        <f>IF(ISNUMBER(SEARCH(ZAKL_DATA!$B$29,N193)),MAX($M$2:M192)+1,0)</f>
        <v>191</v>
      </c>
      <c r="N193" s="325" t="s">
        <v>1703</v>
      </c>
      <c r="O193" s="340" t="s">
        <v>1704</v>
      </c>
      <c r="Q193" s="327" t="str">
        <f>IFERROR(VLOOKUP(ROWS($Q$3:Q193),$M$3:$N$992,2,0),"")</f>
        <v>Výroba parních kotlů, kromě kotlů pro ústřední topení</v>
      </c>
      <c r="R193">
        <f>IF(ISNUMBER(SEARCH('1Př1'!$A$32,N193)),MAX($M$2:M192)+1,0)</f>
        <v>191</v>
      </c>
      <c r="S193" s="325" t="s">
        <v>1703</v>
      </c>
      <c r="T193" t="str">
        <f>IFERROR(VLOOKUP(ROWS($T$3:T193),$R$3:$S$992,2,0),"")</f>
        <v>Výroba parních kotlů, kromě kotlů pro ústřední topení</v>
      </c>
      <c r="U193">
        <f>IF(ISNUMBER(SEARCH('1Př1'!$A$33,N193)),MAX($M$2:M192)+1,0)</f>
        <v>191</v>
      </c>
      <c r="V193" s="325" t="s">
        <v>1703</v>
      </c>
      <c r="W193" t="str">
        <f>IFERROR(VLOOKUP(ROWS($W$3:W193),$U$3:$V$992,2,0),"")</f>
        <v>Výroba parních kotlů, kromě kotlů pro ústřední topení</v>
      </c>
      <c r="X193">
        <f>IF(ISNUMBER(SEARCH('1Př1'!$A$34,N193)),MAX($M$2:M192)+1,0)</f>
        <v>191</v>
      </c>
      <c r="Y193" s="325" t="s">
        <v>1703</v>
      </c>
      <c r="Z193" t="str">
        <f>IFERROR(VLOOKUP(ROWS($Z$3:Z193),$X$3:$Y$992,2,0),"")</f>
        <v>Výroba parních kotlů, kromě kotlů pro ústřední topení</v>
      </c>
    </row>
    <row r="194" spans="1:26" ht="12.75" customHeight="1">
      <c r="A194" s="301"/>
      <c r="B194" s="301"/>
      <c r="C194" s="301"/>
      <c r="D194" s="317">
        <f>IF(ISNUMBER(SEARCH(ZAKL_DATA!$B$14,E194)),MAX($D$2:D193)+1,0)</f>
        <v>192</v>
      </c>
      <c r="E194" s="330" t="s">
        <v>1705</v>
      </c>
      <c r="F194" s="331">
        <v>3303</v>
      </c>
      <c r="G194" s="332"/>
      <c r="H194" s="333" t="str">
        <f>IFERROR(VLOOKUP(ROWS($H$3:H194),$D$3:$E$204,2,0),"")</f>
        <v>HOLEŠOV</v>
      </c>
      <c r="I194" s="301"/>
      <c r="J194" s="335" t="s">
        <v>1706</v>
      </c>
      <c r="K194" s="323" t="s">
        <v>1707</v>
      </c>
      <c r="M194" s="324">
        <f>IF(ISNUMBER(SEARCH(ZAKL_DATA!$B$29,N194)),MAX($M$2:M193)+1,0)</f>
        <v>192</v>
      </c>
      <c r="N194" s="325" t="s">
        <v>1708</v>
      </c>
      <c r="O194" s="340" t="s">
        <v>1709</v>
      </c>
      <c r="Q194" s="327" t="str">
        <f>IFERROR(VLOOKUP(ROWS($Q$3:Q194),$M$3:$N$992,2,0),"")</f>
        <v>Výroba zbraní a střeliva</v>
      </c>
      <c r="R194">
        <f>IF(ISNUMBER(SEARCH('1Př1'!$A$32,N194)),MAX($M$2:M193)+1,0)</f>
        <v>192</v>
      </c>
      <c r="S194" s="325" t="s">
        <v>1708</v>
      </c>
      <c r="T194" t="str">
        <f>IFERROR(VLOOKUP(ROWS($T$3:T194),$R$3:$S$992,2,0),"")</f>
        <v>Výroba zbraní a střeliva</v>
      </c>
      <c r="U194">
        <f>IF(ISNUMBER(SEARCH('1Př1'!$A$33,N194)),MAX($M$2:M193)+1,0)</f>
        <v>192</v>
      </c>
      <c r="V194" s="325" t="s">
        <v>1708</v>
      </c>
      <c r="W194" t="str">
        <f>IFERROR(VLOOKUP(ROWS($W$3:W194),$U$3:$V$992,2,0),"")</f>
        <v>Výroba zbraní a střeliva</v>
      </c>
      <c r="X194">
        <f>IF(ISNUMBER(SEARCH('1Př1'!$A$34,N194)),MAX($M$2:M193)+1,0)</f>
        <v>192</v>
      </c>
      <c r="Y194" s="325" t="s">
        <v>1708</v>
      </c>
      <c r="Z194" t="str">
        <f>IFERROR(VLOOKUP(ROWS($Z$3:Z194),$X$3:$Y$992,2,0),"")</f>
        <v>Výroba zbraní a střeliva</v>
      </c>
    </row>
    <row r="195" spans="1:26" ht="12.75" customHeight="1">
      <c r="A195" s="301"/>
      <c r="B195" s="301"/>
      <c r="C195" s="301"/>
      <c r="D195" s="317">
        <f>IF(ISNUMBER(SEARCH(ZAKL_DATA!$B$14,E195)),MAX($D$2:D194)+1,0)</f>
        <v>193</v>
      </c>
      <c r="E195" s="330" t="s">
        <v>1710</v>
      </c>
      <c r="F195" s="331">
        <v>3304</v>
      </c>
      <c r="G195" s="332"/>
      <c r="H195" s="333" t="str">
        <f>IFERROR(VLOOKUP(ROWS($H$3:H195),$D$3:$E$204,2,0),"")</f>
        <v>KROMĚŘÍŽ</v>
      </c>
      <c r="I195" s="301"/>
      <c r="J195" s="335" t="s">
        <v>1711</v>
      </c>
      <c r="K195" s="323" t="s">
        <v>1712</v>
      </c>
      <c r="M195" s="324">
        <f>IF(ISNUMBER(SEARCH(ZAKL_DATA!$B$29,N195)),MAX($M$2:M194)+1,0)</f>
        <v>193</v>
      </c>
      <c r="N195" s="325" t="s">
        <v>1713</v>
      </c>
      <c r="O195" s="326" t="s">
        <v>1714</v>
      </c>
      <c r="Q195" s="327" t="str">
        <f>IFERROR(VLOOKUP(ROWS($Q$3:Q195),$M$3:$N$992,2,0),"")</f>
        <v>Kování,lisování,ražení,válcování a protlačování kovů;prášková metalurgie</v>
      </c>
      <c r="R195">
        <f>IF(ISNUMBER(SEARCH('1Př1'!$A$32,N195)),MAX($M$2:M194)+1,0)</f>
        <v>193</v>
      </c>
      <c r="S195" s="325" t="s">
        <v>1713</v>
      </c>
      <c r="T195" t="str">
        <f>IFERROR(VLOOKUP(ROWS($T$3:T195),$R$3:$S$992,2,0),"")</f>
        <v>Kování,lisování,ražení,válcování a protlačování kovů;prášková metalurgie</v>
      </c>
      <c r="U195">
        <f>IF(ISNUMBER(SEARCH('1Př1'!$A$33,N195)),MAX($M$2:M194)+1,0)</f>
        <v>193</v>
      </c>
      <c r="V195" s="325" t="s">
        <v>1713</v>
      </c>
      <c r="W195" t="str">
        <f>IFERROR(VLOOKUP(ROWS($W$3:W195),$U$3:$V$992,2,0),"")</f>
        <v>Kování,lisování,ražení,válcování a protlačování kovů;prášková metalurgie</v>
      </c>
      <c r="X195">
        <f>IF(ISNUMBER(SEARCH('1Př1'!$A$34,N195)),MAX($M$2:M194)+1,0)</f>
        <v>193</v>
      </c>
      <c r="Y195" s="325" t="s">
        <v>1713</v>
      </c>
      <c r="Z195" t="str">
        <f>IFERROR(VLOOKUP(ROWS($Z$3:Z195),$X$3:$Y$992,2,0),"")</f>
        <v>Kování,lisování,ražení,válcování a protlačování kovů;prášková metalurgie</v>
      </c>
    </row>
    <row r="196" spans="1:26" ht="12.75" customHeight="1">
      <c r="A196" s="301"/>
      <c r="B196" s="301"/>
      <c r="C196" s="301"/>
      <c r="D196" s="317">
        <f>IF(ISNUMBER(SEARCH(ZAKL_DATA!$B$14,E196)),MAX($D$2:D195)+1,0)</f>
        <v>194</v>
      </c>
      <c r="E196" s="330" t="s">
        <v>1715</v>
      </c>
      <c r="F196" s="331">
        <v>3305</v>
      </c>
      <c r="G196" s="332"/>
      <c r="H196" s="333" t="str">
        <f>IFERROR(VLOOKUP(ROWS($H$3:H196),$D$3:$E$204,2,0),"")</f>
        <v>LUHAČOVICE</v>
      </c>
      <c r="I196" s="301"/>
      <c r="J196" s="335" t="s">
        <v>1716</v>
      </c>
      <c r="K196" s="323" t="s">
        <v>1717</v>
      </c>
      <c r="M196" s="324">
        <f>IF(ISNUMBER(SEARCH(ZAKL_DATA!$B$29,N196)),MAX($M$2:M195)+1,0)</f>
        <v>194</v>
      </c>
      <c r="N196" s="325" t="s">
        <v>1718</v>
      </c>
      <c r="O196" s="326" t="s">
        <v>1719</v>
      </c>
      <c r="Q196" s="327" t="str">
        <f>IFERROR(VLOOKUP(ROWS($Q$3:Q196),$M$3:$N$992,2,0),"")</f>
        <v>Povrchová úprava a zušlechťování kovů; obrábění</v>
      </c>
      <c r="R196">
        <f>IF(ISNUMBER(SEARCH('1Př1'!$A$32,N196)),MAX($M$2:M195)+1,0)</f>
        <v>194</v>
      </c>
      <c r="S196" s="325" t="s">
        <v>1718</v>
      </c>
      <c r="T196" t="str">
        <f>IFERROR(VLOOKUP(ROWS($T$3:T196),$R$3:$S$992,2,0),"")</f>
        <v>Povrchová úprava a zušlechťování kovů; obrábění</v>
      </c>
      <c r="U196">
        <f>IF(ISNUMBER(SEARCH('1Př1'!$A$33,N196)),MAX($M$2:M195)+1,0)</f>
        <v>194</v>
      </c>
      <c r="V196" s="325" t="s">
        <v>1718</v>
      </c>
      <c r="W196" t="str">
        <f>IFERROR(VLOOKUP(ROWS($W$3:W196),$U$3:$V$992,2,0),"")</f>
        <v>Povrchová úprava a zušlechťování kovů; obrábění</v>
      </c>
      <c r="X196">
        <f>IF(ISNUMBER(SEARCH('1Př1'!$A$34,N196)),MAX($M$2:M195)+1,0)</f>
        <v>194</v>
      </c>
      <c r="Y196" s="325" t="s">
        <v>1718</v>
      </c>
      <c r="Z196" t="str">
        <f>IFERROR(VLOOKUP(ROWS($Z$3:Z196),$X$3:$Y$992,2,0),"")</f>
        <v>Povrchová úprava a zušlechťování kovů; obrábění</v>
      </c>
    </row>
    <row r="197" spans="1:26" ht="12.75" customHeight="1">
      <c r="A197" s="301"/>
      <c r="B197" s="301"/>
      <c r="C197" s="301"/>
      <c r="D197" s="317">
        <f>IF(ISNUMBER(SEARCH(ZAKL_DATA!$B$14,E197)),MAX($D$2:D196)+1,0)</f>
        <v>195</v>
      </c>
      <c r="E197" s="330" t="s">
        <v>1720</v>
      </c>
      <c r="F197" s="331">
        <v>3306</v>
      </c>
      <c r="G197" s="332"/>
      <c r="H197" s="333" t="str">
        <f>IFERROR(VLOOKUP(ROWS($H$3:H197),$D$3:$E$204,2,0),"")</f>
        <v>OTROKOVICE</v>
      </c>
      <c r="I197" s="301"/>
      <c r="J197" s="335" t="s">
        <v>1721</v>
      </c>
      <c r="K197" s="323" t="s">
        <v>1722</v>
      </c>
      <c r="M197" s="324">
        <f>IF(ISNUMBER(SEARCH(ZAKL_DATA!$B$29,N197)),MAX($M$2:M196)+1,0)</f>
        <v>195</v>
      </c>
      <c r="N197" s="325" t="s">
        <v>1723</v>
      </c>
      <c r="O197" s="326" t="s">
        <v>1724</v>
      </c>
      <c r="Q197" s="327" t="str">
        <f>IFERROR(VLOOKUP(ROWS($Q$3:Q197),$M$3:$N$992,2,0),"")</f>
        <v>Výroba nožířských výrobků, nástrojů a železářských výrobků</v>
      </c>
      <c r="R197">
        <f>IF(ISNUMBER(SEARCH('1Př1'!$A$32,N197)),MAX($M$2:M196)+1,0)</f>
        <v>195</v>
      </c>
      <c r="S197" s="325" t="s">
        <v>1723</v>
      </c>
      <c r="T197" t="str">
        <f>IFERROR(VLOOKUP(ROWS($T$3:T197),$R$3:$S$992,2,0),"")</f>
        <v>Výroba nožířských výrobků, nástrojů a železářských výrobků</v>
      </c>
      <c r="U197">
        <f>IF(ISNUMBER(SEARCH('1Př1'!$A$33,N197)),MAX($M$2:M196)+1,0)</f>
        <v>195</v>
      </c>
      <c r="V197" s="325" t="s">
        <v>1723</v>
      </c>
      <c r="W197" t="str">
        <f>IFERROR(VLOOKUP(ROWS($W$3:W197),$U$3:$V$992,2,0),"")</f>
        <v>Výroba nožířských výrobků, nástrojů a železářských výrobků</v>
      </c>
      <c r="X197">
        <f>IF(ISNUMBER(SEARCH('1Př1'!$A$34,N197)),MAX($M$2:M196)+1,0)</f>
        <v>195</v>
      </c>
      <c r="Y197" s="325" t="s">
        <v>1723</v>
      </c>
      <c r="Z197" t="str">
        <f>IFERROR(VLOOKUP(ROWS($Z$3:Z197),$X$3:$Y$992,2,0),"")</f>
        <v>Výroba nožířských výrobků, nástrojů a železářských výrobků</v>
      </c>
    </row>
    <row r="198" spans="1:26" ht="12.75" customHeight="1">
      <c r="A198" s="301"/>
      <c r="B198" s="301"/>
      <c r="C198" s="301"/>
      <c r="D198" s="317">
        <f>IF(ISNUMBER(SEARCH(ZAKL_DATA!$B$14,E198)),MAX($D$2:D197)+1,0)</f>
        <v>196</v>
      </c>
      <c r="E198" s="330" t="s">
        <v>1725</v>
      </c>
      <c r="F198" s="331">
        <v>3307</v>
      </c>
      <c r="G198" s="332"/>
      <c r="H198" s="333" t="str">
        <f>IFERROR(VLOOKUP(ROWS($H$3:H198),$D$3:$E$204,2,0),"")</f>
        <v>ROŽNOV POD RADH.</v>
      </c>
      <c r="I198" s="301"/>
      <c r="J198" s="335" t="s">
        <v>1726</v>
      </c>
      <c r="K198" s="323" t="s">
        <v>1727</v>
      </c>
      <c r="M198" s="324">
        <f>IF(ISNUMBER(SEARCH(ZAKL_DATA!$B$29,N198)),MAX($M$2:M197)+1,0)</f>
        <v>196</v>
      </c>
      <c r="N198" s="325" t="s">
        <v>1728</v>
      </c>
      <c r="O198" s="326" t="s">
        <v>1729</v>
      </c>
      <c r="Q198" s="327" t="str">
        <f>IFERROR(VLOOKUP(ROWS($Q$3:Q198),$M$3:$N$992,2,0),"")</f>
        <v>Výroba ostatních kovodělných výrobků</v>
      </c>
      <c r="R198">
        <f>IF(ISNUMBER(SEARCH('1Př1'!$A$32,N198)),MAX($M$2:M197)+1,0)</f>
        <v>196</v>
      </c>
      <c r="S198" s="325" t="s">
        <v>1728</v>
      </c>
      <c r="T198" t="str">
        <f>IFERROR(VLOOKUP(ROWS($T$3:T198),$R$3:$S$992,2,0),"")</f>
        <v>Výroba ostatních kovodělných výrobků</v>
      </c>
      <c r="U198">
        <f>IF(ISNUMBER(SEARCH('1Př1'!$A$33,N198)),MAX($M$2:M197)+1,0)</f>
        <v>196</v>
      </c>
      <c r="V198" s="325" t="s">
        <v>1728</v>
      </c>
      <c r="W198" t="str">
        <f>IFERROR(VLOOKUP(ROWS($W$3:W198),$U$3:$V$992,2,0),"")</f>
        <v>Výroba ostatních kovodělných výrobků</v>
      </c>
      <c r="X198">
        <f>IF(ISNUMBER(SEARCH('1Př1'!$A$34,N198)),MAX($M$2:M197)+1,0)</f>
        <v>196</v>
      </c>
      <c r="Y198" s="325" t="s">
        <v>1728</v>
      </c>
      <c r="Z198" t="str">
        <f>IFERROR(VLOOKUP(ROWS($Z$3:Z198),$X$3:$Y$992,2,0),"")</f>
        <v>Výroba ostatních kovodělných výrobků</v>
      </c>
    </row>
    <row r="199" spans="1:26" ht="12.75" customHeight="1">
      <c r="A199" s="301"/>
      <c r="B199" s="301"/>
      <c r="C199" s="301"/>
      <c r="D199" s="317">
        <f>IF(ISNUMBER(SEARCH(ZAKL_DATA!$B$14,E199)),MAX($D$2:D198)+1,0)</f>
        <v>197</v>
      </c>
      <c r="E199" s="330" t="s">
        <v>1730</v>
      </c>
      <c r="F199" s="331">
        <v>3308</v>
      </c>
      <c r="G199" s="332"/>
      <c r="H199" s="333" t="str">
        <f>IFERROR(VLOOKUP(ROWS($H$3:H199),$D$3:$E$204,2,0),"")</f>
        <v>UHERSKÝ BROD</v>
      </c>
      <c r="I199" s="301"/>
      <c r="J199" s="335" t="s">
        <v>1731</v>
      </c>
      <c r="K199" s="323" t="s">
        <v>1732</v>
      </c>
      <c r="M199" s="324">
        <f>IF(ISNUMBER(SEARCH(ZAKL_DATA!$B$29,N199)),MAX($M$2:M198)+1,0)</f>
        <v>197</v>
      </c>
      <c r="N199" s="325" t="s">
        <v>1733</v>
      </c>
      <c r="O199" s="326" t="s">
        <v>1734</v>
      </c>
      <c r="Q199" s="327" t="str">
        <f>IFERROR(VLOOKUP(ROWS($Q$3:Q199),$M$3:$N$992,2,0),"")</f>
        <v>Výroba elektronických součástek a desek</v>
      </c>
      <c r="R199">
        <f>IF(ISNUMBER(SEARCH('1Př1'!$A$32,N199)),MAX($M$2:M198)+1,0)</f>
        <v>197</v>
      </c>
      <c r="S199" s="325" t="s">
        <v>1733</v>
      </c>
      <c r="T199" t="str">
        <f>IFERROR(VLOOKUP(ROWS($T$3:T199),$R$3:$S$992,2,0),"")</f>
        <v>Výroba elektronických součástek a desek</v>
      </c>
      <c r="U199">
        <f>IF(ISNUMBER(SEARCH('1Př1'!$A$33,N199)),MAX($M$2:M198)+1,0)</f>
        <v>197</v>
      </c>
      <c r="V199" s="325" t="s">
        <v>1733</v>
      </c>
      <c r="W199" t="str">
        <f>IFERROR(VLOOKUP(ROWS($W$3:W199),$U$3:$V$992,2,0),"")</f>
        <v>Výroba elektronických součástek a desek</v>
      </c>
      <c r="X199">
        <f>IF(ISNUMBER(SEARCH('1Př1'!$A$34,N199)),MAX($M$2:M198)+1,0)</f>
        <v>197</v>
      </c>
      <c r="Y199" s="325" t="s">
        <v>1733</v>
      </c>
      <c r="Z199" t="str">
        <f>IFERROR(VLOOKUP(ROWS($Z$3:Z199),$X$3:$Y$992,2,0),"")</f>
        <v>Výroba elektronických součástek a desek</v>
      </c>
    </row>
    <row r="200" spans="1:26" ht="12.75" customHeight="1">
      <c r="A200" s="301"/>
      <c r="B200" s="301"/>
      <c r="C200" s="301"/>
      <c r="D200" s="317">
        <f>IF(ISNUMBER(SEARCH(ZAKL_DATA!$B$14,E200)),MAX($D$2:D199)+1,0)</f>
        <v>198</v>
      </c>
      <c r="E200" s="330" t="s">
        <v>1735</v>
      </c>
      <c r="F200" s="331">
        <v>3309</v>
      </c>
      <c r="G200" s="332"/>
      <c r="H200" s="333" t="str">
        <f>IFERROR(VLOOKUP(ROWS($H$3:H200),$D$3:$E$204,2,0),"")</f>
        <v>UHERSKÉ HRADIŠTĚ</v>
      </c>
      <c r="I200" s="301"/>
      <c r="J200" s="335" t="s">
        <v>1736</v>
      </c>
      <c r="K200" s="323" t="s">
        <v>1737</v>
      </c>
      <c r="M200" s="324">
        <f>IF(ISNUMBER(SEARCH(ZAKL_DATA!$B$29,N200)),MAX($M$2:M199)+1,0)</f>
        <v>198</v>
      </c>
      <c r="N200" s="325" t="s">
        <v>1738</v>
      </c>
      <c r="O200" s="326" t="s">
        <v>1739</v>
      </c>
      <c r="Q200" s="327" t="str">
        <f>IFERROR(VLOOKUP(ROWS($Q$3:Q200),$M$3:$N$992,2,0),"")</f>
        <v>Výroba počítačů a periferních zařízení</v>
      </c>
      <c r="R200">
        <f>IF(ISNUMBER(SEARCH('1Př1'!$A$32,N200)),MAX($M$2:M199)+1,0)</f>
        <v>198</v>
      </c>
      <c r="S200" s="325" t="s">
        <v>1738</v>
      </c>
      <c r="T200" t="str">
        <f>IFERROR(VLOOKUP(ROWS($T$3:T200),$R$3:$S$992,2,0),"")</f>
        <v>Výroba počítačů a periferních zařízení</v>
      </c>
      <c r="U200">
        <f>IF(ISNUMBER(SEARCH('1Př1'!$A$33,N200)),MAX($M$2:M199)+1,0)</f>
        <v>198</v>
      </c>
      <c r="V200" s="325" t="s">
        <v>1738</v>
      </c>
      <c r="W200" t="str">
        <f>IFERROR(VLOOKUP(ROWS($W$3:W200),$U$3:$V$992,2,0),"")</f>
        <v>Výroba počítačů a periferních zařízení</v>
      </c>
      <c r="X200">
        <f>IF(ISNUMBER(SEARCH('1Př1'!$A$34,N200)),MAX($M$2:M199)+1,0)</f>
        <v>198</v>
      </c>
      <c r="Y200" s="325" t="s">
        <v>1738</v>
      </c>
      <c r="Z200" t="str">
        <f>IFERROR(VLOOKUP(ROWS($Z$3:Z200),$X$3:$Y$992,2,0),"")</f>
        <v>Výroba počítačů a periferních zařízení</v>
      </c>
    </row>
    <row r="201" spans="1:26" ht="12.75" customHeight="1">
      <c r="A201" s="301"/>
      <c r="B201" s="301"/>
      <c r="C201" s="301"/>
      <c r="D201" s="317">
        <f>IF(ISNUMBER(SEARCH(ZAKL_DATA!$B$14,E201)),MAX($D$2:D200)+1,0)</f>
        <v>199</v>
      </c>
      <c r="E201" s="330" t="s">
        <v>1740</v>
      </c>
      <c r="F201" s="331">
        <v>3310</v>
      </c>
      <c r="G201" s="332"/>
      <c r="H201" s="333" t="str">
        <f>IFERROR(VLOOKUP(ROWS($H$3:H201),$D$3:$E$204,2,0),"")</f>
        <v>VALAŠSKÉ MEZIŘÍČÍ</v>
      </c>
      <c r="I201" s="301"/>
      <c r="J201" s="335" t="s">
        <v>1741</v>
      </c>
      <c r="K201" s="323" t="s">
        <v>1742</v>
      </c>
      <c r="M201" s="324">
        <f>IF(ISNUMBER(SEARCH(ZAKL_DATA!$B$29,N201)),MAX($M$2:M200)+1,0)</f>
        <v>199</v>
      </c>
      <c r="N201" s="325" t="s">
        <v>1743</v>
      </c>
      <c r="O201" s="340" t="s">
        <v>1744</v>
      </c>
      <c r="Q201" s="327" t="str">
        <f>IFERROR(VLOOKUP(ROWS($Q$3:Q201),$M$3:$N$992,2,0),"")</f>
        <v>Výroba komunikačních zařízení</v>
      </c>
      <c r="R201">
        <f>IF(ISNUMBER(SEARCH('1Př1'!$A$32,N201)),MAX($M$2:M200)+1,0)</f>
        <v>199</v>
      </c>
      <c r="S201" s="325" t="s">
        <v>1743</v>
      </c>
      <c r="T201" t="str">
        <f>IFERROR(VLOOKUP(ROWS($T$3:T201),$R$3:$S$992,2,0),"")</f>
        <v>Výroba komunikačních zařízení</v>
      </c>
      <c r="U201">
        <f>IF(ISNUMBER(SEARCH('1Př1'!$A$33,N201)),MAX($M$2:M200)+1,0)</f>
        <v>199</v>
      </c>
      <c r="V201" s="325" t="s">
        <v>1743</v>
      </c>
      <c r="W201" t="str">
        <f>IFERROR(VLOOKUP(ROWS($W$3:W201),$U$3:$V$992,2,0),"")</f>
        <v>Výroba komunikačních zařízení</v>
      </c>
      <c r="X201">
        <f>IF(ISNUMBER(SEARCH('1Př1'!$A$34,N201)),MAX($M$2:M200)+1,0)</f>
        <v>199</v>
      </c>
      <c r="Y201" s="325" t="s">
        <v>1743</v>
      </c>
      <c r="Z201" t="str">
        <f>IFERROR(VLOOKUP(ROWS($Z$3:Z201),$X$3:$Y$992,2,0),"")</f>
        <v>Výroba komunikačních zařízení</v>
      </c>
    </row>
    <row r="202" spans="1:26" ht="12.75" customHeight="1">
      <c r="A202" s="301"/>
      <c r="B202" s="301"/>
      <c r="C202" s="301"/>
      <c r="D202" s="317">
        <f>IF(ISNUMBER(SEARCH(ZAKL_DATA!$B$14,E202)),MAX($D$2:D201)+1,0)</f>
        <v>200</v>
      </c>
      <c r="E202" s="330" t="s">
        <v>1745</v>
      </c>
      <c r="F202" s="331">
        <v>3311</v>
      </c>
      <c r="G202" s="332"/>
      <c r="H202" s="333" t="str">
        <f>IFERROR(VLOOKUP(ROWS($H$3:H202),$D$3:$E$204,2,0),"")</f>
        <v>VALAŠSKÉ KLOBOUKY</v>
      </c>
      <c r="I202" s="301"/>
      <c r="J202" s="335" t="s">
        <v>1746</v>
      </c>
      <c r="K202" s="323" t="s">
        <v>1747</v>
      </c>
      <c r="M202" s="324">
        <f>IF(ISNUMBER(SEARCH(ZAKL_DATA!$B$29,N202)),MAX($M$2:M201)+1,0)</f>
        <v>200</v>
      </c>
      <c r="N202" s="325" t="s">
        <v>1748</v>
      </c>
      <c r="O202" s="326" t="s">
        <v>1749</v>
      </c>
      <c r="Q202" s="327" t="str">
        <f>IFERROR(VLOOKUP(ROWS($Q$3:Q202),$M$3:$N$992,2,0),"")</f>
        <v>Výroba spotřební elektroniky</v>
      </c>
      <c r="R202">
        <f>IF(ISNUMBER(SEARCH('1Př1'!$A$32,N202)),MAX($M$2:M201)+1,0)</f>
        <v>200</v>
      </c>
      <c r="S202" s="325" t="s">
        <v>1748</v>
      </c>
      <c r="T202" t="str">
        <f>IFERROR(VLOOKUP(ROWS($T$3:T202),$R$3:$S$992,2,0),"")</f>
        <v>Výroba spotřební elektroniky</v>
      </c>
      <c r="U202">
        <f>IF(ISNUMBER(SEARCH('1Př1'!$A$33,N202)),MAX($M$2:M201)+1,0)</f>
        <v>200</v>
      </c>
      <c r="V202" s="325" t="s">
        <v>1748</v>
      </c>
      <c r="W202" t="str">
        <f>IFERROR(VLOOKUP(ROWS($W$3:W202),$U$3:$V$992,2,0),"")</f>
        <v>Výroba spotřební elektroniky</v>
      </c>
      <c r="X202">
        <f>IF(ISNUMBER(SEARCH('1Př1'!$A$34,N202)),MAX($M$2:M201)+1,0)</f>
        <v>200</v>
      </c>
      <c r="Y202" s="325" t="s">
        <v>1748</v>
      </c>
      <c r="Z202" t="str">
        <f>IFERROR(VLOOKUP(ROWS($Z$3:Z202),$X$3:$Y$992,2,0),"")</f>
        <v>Výroba spotřební elektroniky</v>
      </c>
    </row>
    <row r="203" spans="1:26" ht="12.75" customHeight="1">
      <c r="A203" s="301"/>
      <c r="B203" s="301"/>
      <c r="C203" s="301"/>
      <c r="D203" s="317">
        <f>IF(ISNUMBER(SEARCH(ZAKL_DATA!$B$14,E203)),MAX($D$2:D202)+1,0)</f>
        <v>201</v>
      </c>
      <c r="E203" s="330" t="s">
        <v>1750</v>
      </c>
      <c r="F203" s="331">
        <v>3312</v>
      </c>
      <c r="G203" s="332"/>
      <c r="H203" s="333" t="str">
        <f>IFERROR(VLOOKUP(ROWS($H$3:H203),$D$3:$E$204,2,0),"")</f>
        <v>VSETÍN</v>
      </c>
      <c r="I203" s="301"/>
      <c r="J203" s="335" t="s">
        <v>1751</v>
      </c>
      <c r="K203" s="323" t="s">
        <v>1752</v>
      </c>
      <c r="M203" s="324">
        <f>IF(ISNUMBER(SEARCH(ZAKL_DATA!$B$29,N203)),MAX($M$2:M202)+1,0)</f>
        <v>201</v>
      </c>
      <c r="N203" s="325" t="s">
        <v>1753</v>
      </c>
      <c r="O203" s="326" t="s">
        <v>1754</v>
      </c>
      <c r="Q203" s="327" t="str">
        <f>IFERROR(VLOOKUP(ROWS($Q$3:Q203),$M$3:$N$992,2,0),"")</f>
        <v>Výroba měřicích,zkušebních a navigačních přístrojů;výroba časoměr.přístrojů</v>
      </c>
      <c r="R203">
        <f>IF(ISNUMBER(SEARCH('1Př1'!$A$32,N203)),MAX($M$2:M202)+1,0)</f>
        <v>201</v>
      </c>
      <c r="S203" s="325" t="s">
        <v>1753</v>
      </c>
      <c r="T203" t="str">
        <f>IFERROR(VLOOKUP(ROWS($T$3:T203),$R$3:$S$992,2,0),"")</f>
        <v>Výroba měřicích,zkušebních a navigačních přístrojů;výroba časoměr.přístrojů</v>
      </c>
      <c r="U203">
        <f>IF(ISNUMBER(SEARCH('1Př1'!$A$33,N203)),MAX($M$2:M202)+1,0)</f>
        <v>201</v>
      </c>
      <c r="V203" s="325" t="s">
        <v>1753</v>
      </c>
      <c r="W203" t="str">
        <f>IFERROR(VLOOKUP(ROWS($W$3:W203),$U$3:$V$992,2,0),"")</f>
        <v>Výroba měřicích,zkušebních a navigačních přístrojů;výroba časoměr.přístrojů</v>
      </c>
      <c r="X203">
        <f>IF(ISNUMBER(SEARCH('1Př1'!$A$34,N203)),MAX($M$2:M202)+1,0)</f>
        <v>201</v>
      </c>
      <c r="Y203" s="325" t="s">
        <v>1753</v>
      </c>
      <c r="Z203" t="str">
        <f>IFERROR(VLOOKUP(ROWS($Z$3:Z203),$X$3:$Y$992,2,0),"")</f>
        <v>Výroba měřicích,zkušebních a navigačních přístrojů;výroba časoměr.přístrojů</v>
      </c>
    </row>
    <row r="204" spans="1:26" ht="12.75" customHeight="1" thickBot="1">
      <c r="A204" s="301"/>
      <c r="B204" s="301"/>
      <c r="C204" s="301"/>
      <c r="D204" s="317">
        <f>IF(ISNUMBER(SEARCH(ZAKL_DATA!$B$14,E204)),MAX($D$2:D203)+1,0)</f>
        <v>202</v>
      </c>
      <c r="E204" s="343" t="s">
        <v>822</v>
      </c>
      <c r="F204" s="344">
        <v>4000</v>
      </c>
      <c r="G204" s="345"/>
      <c r="H204" s="346" t="str">
        <f>IFERROR(VLOOKUP(ROWS($H$3:H204),$D$3:$E$204,2,0),"")</f>
        <v>SPECIALIZOVANÝ</v>
      </c>
      <c r="I204" s="301"/>
      <c r="J204" s="335" t="s">
        <v>1755</v>
      </c>
      <c r="K204" s="323" t="s">
        <v>1756</v>
      </c>
      <c r="M204" s="324">
        <f>IF(ISNUMBER(SEARCH(ZAKL_DATA!$B$29,N204)),MAX($M$2:M203)+1,0)</f>
        <v>202</v>
      </c>
      <c r="N204" s="325" t="s">
        <v>1757</v>
      </c>
      <c r="O204" s="326" t="s">
        <v>1758</v>
      </c>
      <c r="Q204" s="327" t="str">
        <f>IFERROR(VLOOKUP(ROWS($Q$3:Q204),$M$3:$N$992,2,0),"")</f>
        <v>Výroba ozařovacích, elektroléčebných a elektroterapeutických přístrojů</v>
      </c>
      <c r="R204">
        <f>IF(ISNUMBER(SEARCH('1Př1'!$A$32,N204)),MAX($M$2:M203)+1,0)</f>
        <v>202</v>
      </c>
      <c r="S204" s="325" t="s">
        <v>1757</v>
      </c>
      <c r="T204" t="str">
        <f>IFERROR(VLOOKUP(ROWS($T$3:T204),$R$3:$S$992,2,0),"")</f>
        <v>Výroba ozařovacích, elektroléčebných a elektroterapeutických přístrojů</v>
      </c>
      <c r="U204">
        <f>IF(ISNUMBER(SEARCH('1Př1'!$A$33,N204)),MAX($M$2:M203)+1,0)</f>
        <v>202</v>
      </c>
      <c r="V204" s="325" t="s">
        <v>1757</v>
      </c>
      <c r="W204" t="str">
        <f>IFERROR(VLOOKUP(ROWS($W$3:W204),$U$3:$V$992,2,0),"")</f>
        <v>Výroba ozařovacích, elektroléčebných a elektroterapeutických přístrojů</v>
      </c>
      <c r="X204">
        <f>IF(ISNUMBER(SEARCH('1Př1'!$A$34,N204)),MAX($M$2:M203)+1,0)</f>
        <v>202</v>
      </c>
      <c r="Y204" s="325" t="s">
        <v>1757</v>
      </c>
      <c r="Z204" t="str">
        <f>IFERROR(VLOOKUP(ROWS($Z$3:Z204),$X$3:$Y$992,2,0),"")</f>
        <v>Výroba ozařovacích, elektroléčebných a elektroterapeutických přístrojů</v>
      </c>
    </row>
    <row r="205" spans="1:26">
      <c r="A205" s="301"/>
      <c r="B205" s="301"/>
      <c r="C205" s="301"/>
      <c r="D205" s="302"/>
      <c r="E205" s="301"/>
      <c r="F205" s="301"/>
      <c r="G205" s="301"/>
      <c r="H205" s="301" t="str">
        <f>IFERROR(VLOOKUP(ROWS($H$3:H205),$D$2:$E$204,2,0),"")</f>
        <v/>
      </c>
      <c r="I205" s="301"/>
      <c r="J205" s="335" t="s">
        <v>1759</v>
      </c>
      <c r="K205" s="323" t="s">
        <v>1760</v>
      </c>
      <c r="M205" s="324">
        <f>IF(ISNUMBER(SEARCH(ZAKL_DATA!$B$29,N205)),MAX($M$2:M204)+1,0)</f>
        <v>203</v>
      </c>
      <c r="N205" s="325" t="s">
        <v>1761</v>
      </c>
      <c r="O205" s="326" t="s">
        <v>1762</v>
      </c>
      <c r="Q205" s="327" t="str">
        <f>IFERROR(VLOOKUP(ROWS($Q$3:Q205),$M$3:$N$992,2,0),"")</f>
        <v>Výroba optických a fotografických přístrojů a zařízení</v>
      </c>
      <c r="R205">
        <f>IF(ISNUMBER(SEARCH('1Př1'!$A$32,N205)),MAX($M$2:M204)+1,0)</f>
        <v>203</v>
      </c>
      <c r="S205" s="325" t="s">
        <v>1761</v>
      </c>
      <c r="T205" t="str">
        <f>IFERROR(VLOOKUP(ROWS($T$3:T205),$R$3:$S$992,2,0),"")</f>
        <v>Výroba optických a fotografických přístrojů a zařízení</v>
      </c>
      <c r="U205">
        <f>IF(ISNUMBER(SEARCH('1Př1'!$A$33,N205)),MAX($M$2:M204)+1,0)</f>
        <v>203</v>
      </c>
      <c r="V205" s="325" t="s">
        <v>1761</v>
      </c>
      <c r="W205" t="str">
        <f>IFERROR(VLOOKUP(ROWS($W$3:W205),$U$3:$V$992,2,0),"")</f>
        <v>Výroba optických a fotografických přístrojů a zařízení</v>
      </c>
      <c r="X205">
        <f>IF(ISNUMBER(SEARCH('1Př1'!$A$34,N205)),MAX($M$2:M204)+1,0)</f>
        <v>203</v>
      </c>
      <c r="Y205" s="325" t="s">
        <v>1761</v>
      </c>
      <c r="Z205" t="str">
        <f>IFERROR(VLOOKUP(ROWS($Z$3:Z205),$X$3:$Y$992,2,0),"")</f>
        <v>Výroba optických a fotografických přístrojů a zařízení</v>
      </c>
    </row>
    <row r="206" spans="1:26">
      <c r="J206" s="335" t="s">
        <v>1763</v>
      </c>
      <c r="K206" s="323" t="s">
        <v>1764</v>
      </c>
      <c r="M206" s="324">
        <f>IF(ISNUMBER(SEARCH(ZAKL_DATA!$B$29,N206)),MAX($M$2:M205)+1,0)</f>
        <v>204</v>
      </c>
      <c r="N206" s="325" t="s">
        <v>1765</v>
      </c>
      <c r="O206" s="326" t="s">
        <v>1766</v>
      </c>
      <c r="Q206" s="327" t="str">
        <f>IFERROR(VLOOKUP(ROWS($Q$3:Q206),$M$3:$N$992,2,0),"")</f>
        <v>Výroba magnetických a optických médií</v>
      </c>
      <c r="R206">
        <f>IF(ISNUMBER(SEARCH('1Př1'!$A$32,N206)),MAX($M$2:M205)+1,0)</f>
        <v>204</v>
      </c>
      <c r="S206" s="325" t="s">
        <v>1765</v>
      </c>
      <c r="T206" t="str">
        <f>IFERROR(VLOOKUP(ROWS($T$3:T206),$R$3:$S$992,2,0),"")</f>
        <v>Výroba magnetických a optických médií</v>
      </c>
      <c r="U206">
        <f>IF(ISNUMBER(SEARCH('1Př1'!$A$33,N206)),MAX($M$2:M205)+1,0)</f>
        <v>204</v>
      </c>
      <c r="V206" s="325" t="s">
        <v>1765</v>
      </c>
      <c r="W206" t="str">
        <f>IFERROR(VLOOKUP(ROWS($W$3:W206),$U$3:$V$992,2,0),"")</f>
        <v>Výroba magnetických a optických médií</v>
      </c>
      <c r="X206">
        <f>IF(ISNUMBER(SEARCH('1Př1'!$A$34,N206)),MAX($M$2:M205)+1,0)</f>
        <v>204</v>
      </c>
      <c r="Y206" s="325" t="s">
        <v>1765</v>
      </c>
      <c r="Z206" t="str">
        <f>IFERROR(VLOOKUP(ROWS($Z$3:Z206),$X$3:$Y$992,2,0),"")</f>
        <v>Výroba magnetických a optických médií</v>
      </c>
    </row>
    <row r="207" spans="1:26">
      <c r="J207" s="335" t="s">
        <v>1767</v>
      </c>
      <c r="K207" s="323" t="s">
        <v>1768</v>
      </c>
      <c r="M207" s="324">
        <f>IF(ISNUMBER(SEARCH(ZAKL_DATA!$B$29,N207)),MAX($M$2:M206)+1,0)</f>
        <v>205</v>
      </c>
      <c r="N207" s="325" t="s">
        <v>1769</v>
      </c>
      <c r="O207" s="326" t="s">
        <v>1770</v>
      </c>
      <c r="Q207" s="327" t="str">
        <f>IFERROR(VLOOKUP(ROWS($Q$3:Q207),$M$3:$N$992,2,0),"")</f>
        <v>Výroba elektr.motorů,generátorů,transformátorů a elektr.rozvod.a kontrol.z.</v>
      </c>
      <c r="R207">
        <f>IF(ISNUMBER(SEARCH('1Př1'!$A$32,N207)),MAX($M$2:M206)+1,0)</f>
        <v>205</v>
      </c>
      <c r="S207" s="325" t="s">
        <v>1769</v>
      </c>
      <c r="T207" t="str">
        <f>IFERROR(VLOOKUP(ROWS($T$3:T207),$R$3:$S$992,2,0),"")</f>
        <v>Výroba elektr.motorů,generátorů,transformátorů a elektr.rozvod.a kontrol.z.</v>
      </c>
      <c r="U207">
        <f>IF(ISNUMBER(SEARCH('1Př1'!$A$33,N207)),MAX($M$2:M206)+1,0)</f>
        <v>205</v>
      </c>
      <c r="V207" s="325" t="s">
        <v>1769</v>
      </c>
      <c r="W207" t="str">
        <f>IFERROR(VLOOKUP(ROWS($W$3:W207),$U$3:$V$992,2,0),"")</f>
        <v>Výroba elektr.motorů,generátorů,transformátorů a elektr.rozvod.a kontrol.z.</v>
      </c>
      <c r="X207">
        <f>IF(ISNUMBER(SEARCH('1Př1'!$A$34,N207)),MAX($M$2:M206)+1,0)</f>
        <v>205</v>
      </c>
      <c r="Y207" s="325" t="s">
        <v>1769</v>
      </c>
      <c r="Z207" t="str">
        <f>IFERROR(VLOOKUP(ROWS($Z$3:Z207),$X$3:$Y$992,2,0),"")</f>
        <v>Výroba elektr.motorů,generátorů,transformátorů a elektr.rozvod.a kontrol.z.</v>
      </c>
    </row>
    <row r="208" spans="1:26">
      <c r="J208" s="335" t="s">
        <v>1771</v>
      </c>
      <c r="K208" s="323" t="s">
        <v>1772</v>
      </c>
      <c r="M208" s="324">
        <f>IF(ISNUMBER(SEARCH(ZAKL_DATA!$B$29,N208)),MAX($M$2:M207)+1,0)</f>
        <v>206</v>
      </c>
      <c r="N208" s="325" t="s">
        <v>1773</v>
      </c>
      <c r="O208" s="340" t="s">
        <v>1774</v>
      </c>
      <c r="Q208" s="327" t="str">
        <f>IFERROR(VLOOKUP(ROWS($Q$3:Q208),$M$3:$N$992,2,0),"")</f>
        <v>Výroba baterií a akumulátorů</v>
      </c>
      <c r="R208">
        <f>IF(ISNUMBER(SEARCH('1Př1'!$A$32,N208)),MAX($M$2:M207)+1,0)</f>
        <v>206</v>
      </c>
      <c r="S208" s="325" t="s">
        <v>1773</v>
      </c>
      <c r="T208" t="str">
        <f>IFERROR(VLOOKUP(ROWS($T$3:T208),$R$3:$S$992,2,0),"")</f>
        <v>Výroba baterií a akumulátorů</v>
      </c>
      <c r="U208">
        <f>IF(ISNUMBER(SEARCH('1Př1'!$A$33,N208)),MAX($M$2:M207)+1,0)</f>
        <v>206</v>
      </c>
      <c r="V208" s="325" t="s">
        <v>1773</v>
      </c>
      <c r="W208" t="str">
        <f>IFERROR(VLOOKUP(ROWS($W$3:W208),$U$3:$V$992,2,0),"")</f>
        <v>Výroba baterií a akumulátorů</v>
      </c>
      <c r="X208">
        <f>IF(ISNUMBER(SEARCH('1Př1'!$A$34,N208)),MAX($M$2:M207)+1,0)</f>
        <v>206</v>
      </c>
      <c r="Y208" s="325" t="s">
        <v>1773</v>
      </c>
      <c r="Z208" t="str">
        <f>IFERROR(VLOOKUP(ROWS($Z$3:Z208),$X$3:$Y$992,2,0),"")</f>
        <v>Výroba baterií a akumulátorů</v>
      </c>
    </row>
    <row r="209" spans="10:26">
      <c r="J209" s="335" t="s">
        <v>1775</v>
      </c>
      <c r="K209" s="323" t="s">
        <v>1776</v>
      </c>
      <c r="M209" s="324">
        <f>IF(ISNUMBER(SEARCH(ZAKL_DATA!$B$29,N209)),MAX($M$2:M208)+1,0)</f>
        <v>207</v>
      </c>
      <c r="N209" s="325" t="s">
        <v>1777</v>
      </c>
      <c r="O209" s="326" t="s">
        <v>1778</v>
      </c>
      <c r="Q209" s="327" t="str">
        <f>IFERROR(VLOOKUP(ROWS($Q$3:Q209),$M$3:$N$992,2,0),"")</f>
        <v>Výroba optických a elektr.kabelů,elektr.vodičů a elektroinstal.zařízení</v>
      </c>
      <c r="R209">
        <f>IF(ISNUMBER(SEARCH('1Př1'!$A$32,N209)),MAX($M$2:M208)+1,0)</f>
        <v>207</v>
      </c>
      <c r="S209" s="325" t="s">
        <v>1777</v>
      </c>
      <c r="T209" t="str">
        <f>IFERROR(VLOOKUP(ROWS($T$3:T209),$R$3:$S$992,2,0),"")</f>
        <v>Výroba optických a elektr.kabelů,elektr.vodičů a elektroinstal.zařízení</v>
      </c>
      <c r="U209">
        <f>IF(ISNUMBER(SEARCH('1Př1'!$A$33,N209)),MAX($M$2:M208)+1,0)</f>
        <v>207</v>
      </c>
      <c r="V209" s="325" t="s">
        <v>1777</v>
      </c>
      <c r="W209" t="str">
        <f>IFERROR(VLOOKUP(ROWS($W$3:W209),$U$3:$V$992,2,0),"")</f>
        <v>Výroba optických a elektr.kabelů,elektr.vodičů a elektroinstal.zařízení</v>
      </c>
      <c r="X209">
        <f>IF(ISNUMBER(SEARCH('1Př1'!$A$34,N209)),MAX($M$2:M208)+1,0)</f>
        <v>207</v>
      </c>
      <c r="Y209" s="325" t="s">
        <v>1777</v>
      </c>
      <c r="Z209" t="str">
        <f>IFERROR(VLOOKUP(ROWS($Z$3:Z209),$X$3:$Y$992,2,0),"")</f>
        <v>Výroba optických a elektr.kabelů,elektr.vodičů a elektroinstal.zařízení</v>
      </c>
    </row>
    <row r="210" spans="10:26">
      <c r="J210" s="335" t="s">
        <v>1779</v>
      </c>
      <c r="K210" s="323" t="s">
        <v>1780</v>
      </c>
      <c r="M210" s="324">
        <f>IF(ISNUMBER(SEARCH(ZAKL_DATA!$B$29,N210)),MAX($M$2:M209)+1,0)</f>
        <v>208</v>
      </c>
      <c r="N210" s="325" t="s">
        <v>1781</v>
      </c>
      <c r="O210" s="326" t="s">
        <v>1782</v>
      </c>
      <c r="Q210" s="327" t="str">
        <f>IFERROR(VLOOKUP(ROWS($Q$3:Q210),$M$3:$N$992,2,0),"")</f>
        <v>Výroba elektrických osvětlovacích zařízení</v>
      </c>
      <c r="R210">
        <f>IF(ISNUMBER(SEARCH('1Př1'!$A$32,N210)),MAX($M$2:M209)+1,0)</f>
        <v>208</v>
      </c>
      <c r="S210" s="325" t="s">
        <v>1781</v>
      </c>
      <c r="T210" t="str">
        <f>IFERROR(VLOOKUP(ROWS($T$3:T210),$R$3:$S$992,2,0),"")</f>
        <v>Výroba elektrických osvětlovacích zařízení</v>
      </c>
      <c r="U210">
        <f>IF(ISNUMBER(SEARCH('1Př1'!$A$33,N210)),MAX($M$2:M209)+1,0)</f>
        <v>208</v>
      </c>
      <c r="V210" s="325" t="s">
        <v>1781</v>
      </c>
      <c r="W210" t="str">
        <f>IFERROR(VLOOKUP(ROWS($W$3:W210),$U$3:$V$992,2,0),"")</f>
        <v>Výroba elektrických osvětlovacích zařízení</v>
      </c>
      <c r="X210">
        <f>IF(ISNUMBER(SEARCH('1Př1'!$A$34,N210)),MAX($M$2:M209)+1,0)</f>
        <v>208</v>
      </c>
      <c r="Y210" s="325" t="s">
        <v>1781</v>
      </c>
      <c r="Z210" t="str">
        <f>IFERROR(VLOOKUP(ROWS($Z$3:Z210),$X$3:$Y$992,2,0),"")</f>
        <v>Výroba elektrických osvětlovacích zařízení</v>
      </c>
    </row>
    <row r="211" spans="10:26">
      <c r="J211" s="335" t="s">
        <v>1783</v>
      </c>
      <c r="K211" s="323" t="s">
        <v>1784</v>
      </c>
      <c r="M211" s="324">
        <f>IF(ISNUMBER(SEARCH(ZAKL_DATA!$B$29,N211)),MAX($M$2:M210)+1,0)</f>
        <v>209</v>
      </c>
      <c r="N211" s="325" t="s">
        <v>1785</v>
      </c>
      <c r="O211" s="340" t="s">
        <v>1786</v>
      </c>
      <c r="Q211" s="327" t="str">
        <f>IFERROR(VLOOKUP(ROWS($Q$3:Q211),$M$3:$N$992,2,0),"")</f>
        <v>Výroba spotřebičů převážně pro domácnost</v>
      </c>
      <c r="R211">
        <f>IF(ISNUMBER(SEARCH('1Př1'!$A$32,N211)),MAX($M$2:M210)+1,0)</f>
        <v>209</v>
      </c>
      <c r="S211" s="325" t="s">
        <v>1785</v>
      </c>
      <c r="T211" t="str">
        <f>IFERROR(VLOOKUP(ROWS($T$3:T211),$R$3:$S$992,2,0),"")</f>
        <v>Výroba spotřebičů převážně pro domácnost</v>
      </c>
      <c r="U211">
        <f>IF(ISNUMBER(SEARCH('1Př1'!$A$33,N211)),MAX($M$2:M210)+1,0)</f>
        <v>209</v>
      </c>
      <c r="V211" s="325" t="s">
        <v>1785</v>
      </c>
      <c r="W211" t="str">
        <f>IFERROR(VLOOKUP(ROWS($W$3:W211),$U$3:$V$992,2,0),"")</f>
        <v>Výroba spotřebičů převážně pro domácnost</v>
      </c>
      <c r="X211">
        <f>IF(ISNUMBER(SEARCH('1Př1'!$A$34,N211)),MAX($M$2:M210)+1,0)</f>
        <v>209</v>
      </c>
      <c r="Y211" s="325" t="s">
        <v>1785</v>
      </c>
      <c r="Z211" t="str">
        <f>IFERROR(VLOOKUP(ROWS($Z$3:Z211),$X$3:$Y$992,2,0),"")</f>
        <v>Výroba spotřebičů převážně pro domácnost</v>
      </c>
    </row>
    <row r="212" spans="10:26">
      <c r="J212" s="334" t="s">
        <v>1787</v>
      </c>
      <c r="K212" s="323" t="s">
        <v>1788</v>
      </c>
      <c r="M212" s="324">
        <f>IF(ISNUMBER(SEARCH(ZAKL_DATA!$B$29,N212)),MAX($M$2:M211)+1,0)</f>
        <v>210</v>
      </c>
      <c r="N212" s="325" t="s">
        <v>1789</v>
      </c>
      <c r="O212" s="326" t="s">
        <v>1790</v>
      </c>
      <c r="Q212" s="327" t="str">
        <f>IFERROR(VLOOKUP(ROWS($Q$3:Q212),$M$3:$N$992,2,0),"")</f>
        <v>Výroba ostatních elektrických zařízení</v>
      </c>
      <c r="R212">
        <f>IF(ISNUMBER(SEARCH('1Př1'!$A$32,N212)),MAX($M$2:M211)+1,0)</f>
        <v>210</v>
      </c>
      <c r="S212" s="325" t="s">
        <v>1789</v>
      </c>
      <c r="T212" t="str">
        <f>IFERROR(VLOOKUP(ROWS($T$3:T212),$R$3:$S$992,2,0),"")</f>
        <v>Výroba ostatních elektrických zařízení</v>
      </c>
      <c r="U212">
        <f>IF(ISNUMBER(SEARCH('1Př1'!$A$33,N212)),MAX($M$2:M211)+1,0)</f>
        <v>210</v>
      </c>
      <c r="V212" s="325" t="s">
        <v>1789</v>
      </c>
      <c r="W212" t="str">
        <f>IFERROR(VLOOKUP(ROWS($W$3:W212),$U$3:$V$992,2,0),"")</f>
        <v>Výroba ostatních elektrických zařízení</v>
      </c>
      <c r="X212">
        <f>IF(ISNUMBER(SEARCH('1Př1'!$A$34,N212)),MAX($M$2:M211)+1,0)</f>
        <v>210</v>
      </c>
      <c r="Y212" s="325" t="s">
        <v>1789</v>
      </c>
      <c r="Z212" t="str">
        <f>IFERROR(VLOOKUP(ROWS($Z$3:Z212),$X$3:$Y$992,2,0),"")</f>
        <v>Výroba ostatních elektrických zařízení</v>
      </c>
    </row>
    <row r="213" spans="10:26">
      <c r="J213" s="335" t="s">
        <v>1791</v>
      </c>
      <c r="K213" s="323" t="s">
        <v>1792</v>
      </c>
      <c r="M213" s="324">
        <f>IF(ISNUMBER(SEARCH(ZAKL_DATA!$B$29,N213)),MAX($M$2:M212)+1,0)</f>
        <v>211</v>
      </c>
      <c r="N213" s="325" t="s">
        <v>1793</v>
      </c>
      <c r="O213" s="326" t="s">
        <v>1794</v>
      </c>
      <c r="Q213" s="327" t="str">
        <f>IFERROR(VLOOKUP(ROWS($Q$3:Q213),$M$3:$N$992,2,0),"")</f>
        <v>Výroba strojů a zařízení pro všeobecné účely</v>
      </c>
      <c r="R213">
        <f>IF(ISNUMBER(SEARCH('1Př1'!$A$32,N213)),MAX($M$2:M212)+1,0)</f>
        <v>211</v>
      </c>
      <c r="S213" s="325" t="s">
        <v>1793</v>
      </c>
      <c r="T213" t="str">
        <f>IFERROR(VLOOKUP(ROWS($T$3:T213),$R$3:$S$992,2,0),"")</f>
        <v>Výroba strojů a zařízení pro všeobecné účely</v>
      </c>
      <c r="U213">
        <f>IF(ISNUMBER(SEARCH('1Př1'!$A$33,N213)),MAX($M$2:M212)+1,0)</f>
        <v>211</v>
      </c>
      <c r="V213" s="325" t="s">
        <v>1793</v>
      </c>
      <c r="W213" t="str">
        <f>IFERROR(VLOOKUP(ROWS($W$3:W213),$U$3:$V$992,2,0),"")</f>
        <v>Výroba strojů a zařízení pro všeobecné účely</v>
      </c>
      <c r="X213">
        <f>IF(ISNUMBER(SEARCH('1Př1'!$A$34,N213)),MAX($M$2:M212)+1,0)</f>
        <v>211</v>
      </c>
      <c r="Y213" s="325" t="s">
        <v>1793</v>
      </c>
      <c r="Z213" t="str">
        <f>IFERROR(VLOOKUP(ROWS($Z$3:Z213),$X$3:$Y$992,2,0),"")</f>
        <v>Výroba strojů a zařízení pro všeobecné účely</v>
      </c>
    </row>
    <row r="214" spans="10:26">
      <c r="J214" s="334" t="s">
        <v>1795</v>
      </c>
      <c r="K214" s="323" t="s">
        <v>1796</v>
      </c>
      <c r="M214" s="324">
        <f>IF(ISNUMBER(SEARCH(ZAKL_DATA!$B$29,N214)),MAX($M$2:M213)+1,0)</f>
        <v>212</v>
      </c>
      <c r="N214" s="325" t="s">
        <v>1797</v>
      </c>
      <c r="O214" s="340" t="s">
        <v>1798</v>
      </c>
      <c r="Q214" s="327" t="str">
        <f>IFERROR(VLOOKUP(ROWS($Q$3:Q214),$M$3:$N$992,2,0),"")</f>
        <v>Výroba ostatních strojů a zařízení pro všeobecné účely</v>
      </c>
      <c r="R214">
        <f>IF(ISNUMBER(SEARCH('1Př1'!$A$32,N214)),MAX($M$2:M213)+1,0)</f>
        <v>212</v>
      </c>
      <c r="S214" s="325" t="s">
        <v>1797</v>
      </c>
      <c r="T214" t="str">
        <f>IFERROR(VLOOKUP(ROWS($T$3:T214),$R$3:$S$992,2,0),"")</f>
        <v>Výroba ostatních strojů a zařízení pro všeobecné účely</v>
      </c>
      <c r="U214">
        <f>IF(ISNUMBER(SEARCH('1Př1'!$A$33,N214)),MAX($M$2:M213)+1,0)</f>
        <v>212</v>
      </c>
      <c r="V214" s="325" t="s">
        <v>1797</v>
      </c>
      <c r="W214" t="str">
        <f>IFERROR(VLOOKUP(ROWS($W$3:W214),$U$3:$V$992,2,0),"")</f>
        <v>Výroba ostatních strojů a zařízení pro všeobecné účely</v>
      </c>
      <c r="X214">
        <f>IF(ISNUMBER(SEARCH('1Př1'!$A$34,N214)),MAX($M$2:M213)+1,0)</f>
        <v>212</v>
      </c>
      <c r="Y214" s="325" t="s">
        <v>1797</v>
      </c>
      <c r="Z214" t="str">
        <f>IFERROR(VLOOKUP(ROWS($Z$3:Z214),$X$3:$Y$992,2,0),"")</f>
        <v>Výroba ostatních strojů a zařízení pro všeobecné účely</v>
      </c>
    </row>
    <row r="215" spans="10:26">
      <c r="J215" s="334" t="s">
        <v>1799</v>
      </c>
      <c r="K215" s="323" t="s">
        <v>1800</v>
      </c>
      <c r="M215" s="324">
        <f>IF(ISNUMBER(SEARCH(ZAKL_DATA!$B$29,N215)),MAX($M$2:M214)+1,0)</f>
        <v>213</v>
      </c>
      <c r="N215" s="325" t="s">
        <v>1801</v>
      </c>
      <c r="O215" s="326" t="s">
        <v>1802</v>
      </c>
      <c r="Q215" s="327" t="str">
        <f>IFERROR(VLOOKUP(ROWS($Q$3:Q215),$M$3:$N$992,2,0),"")</f>
        <v>Výroba zemědělských a lesnických strojů</v>
      </c>
      <c r="R215">
        <f>IF(ISNUMBER(SEARCH('1Př1'!$A$32,N215)),MAX($M$2:M214)+1,0)</f>
        <v>213</v>
      </c>
      <c r="S215" s="325" t="s">
        <v>1801</v>
      </c>
      <c r="T215" t="str">
        <f>IFERROR(VLOOKUP(ROWS($T$3:T215),$R$3:$S$992,2,0),"")</f>
        <v>Výroba zemědělských a lesnických strojů</v>
      </c>
      <c r="U215">
        <f>IF(ISNUMBER(SEARCH('1Př1'!$A$33,N215)),MAX($M$2:M214)+1,0)</f>
        <v>213</v>
      </c>
      <c r="V215" s="325" t="s">
        <v>1801</v>
      </c>
      <c r="W215" t="str">
        <f>IFERROR(VLOOKUP(ROWS($W$3:W215),$U$3:$V$992,2,0),"")</f>
        <v>Výroba zemědělských a lesnických strojů</v>
      </c>
      <c r="X215">
        <f>IF(ISNUMBER(SEARCH('1Př1'!$A$34,N215)),MAX($M$2:M214)+1,0)</f>
        <v>213</v>
      </c>
      <c r="Y215" s="325" t="s">
        <v>1801</v>
      </c>
      <c r="Z215" t="str">
        <f>IFERROR(VLOOKUP(ROWS($Z$3:Z215),$X$3:$Y$992,2,0),"")</f>
        <v>Výroba zemědělských a lesnických strojů</v>
      </c>
    </row>
    <row r="216" spans="10:26">
      <c r="J216" s="335" t="s">
        <v>1803</v>
      </c>
      <c r="K216" s="323" t="s">
        <v>1804</v>
      </c>
      <c r="M216" s="324">
        <f>IF(ISNUMBER(SEARCH(ZAKL_DATA!$B$29,N216)),MAX($M$2:M215)+1,0)</f>
        <v>214</v>
      </c>
      <c r="N216" s="325" t="s">
        <v>1805</v>
      </c>
      <c r="O216" s="326" t="s">
        <v>1806</v>
      </c>
      <c r="Q216" s="327" t="str">
        <f>IFERROR(VLOOKUP(ROWS($Q$3:Q216),$M$3:$N$992,2,0),"")</f>
        <v>Výroba kovoobráběcích a ostatních obráběcích strojů</v>
      </c>
      <c r="R216">
        <f>IF(ISNUMBER(SEARCH('1Př1'!$A$32,N216)),MAX($M$2:M215)+1,0)</f>
        <v>214</v>
      </c>
      <c r="S216" s="325" t="s">
        <v>1805</v>
      </c>
      <c r="T216" t="str">
        <f>IFERROR(VLOOKUP(ROWS($T$3:T216),$R$3:$S$992,2,0),"")</f>
        <v>Výroba kovoobráběcích a ostatních obráběcích strojů</v>
      </c>
      <c r="U216">
        <f>IF(ISNUMBER(SEARCH('1Př1'!$A$33,N216)),MAX($M$2:M215)+1,0)</f>
        <v>214</v>
      </c>
      <c r="V216" s="325" t="s">
        <v>1805</v>
      </c>
      <c r="W216" t="str">
        <f>IFERROR(VLOOKUP(ROWS($W$3:W216),$U$3:$V$992,2,0),"")</f>
        <v>Výroba kovoobráběcích a ostatních obráběcích strojů</v>
      </c>
      <c r="X216">
        <f>IF(ISNUMBER(SEARCH('1Př1'!$A$34,N216)),MAX($M$2:M215)+1,0)</f>
        <v>214</v>
      </c>
      <c r="Y216" s="325" t="s">
        <v>1805</v>
      </c>
      <c r="Z216" t="str">
        <f>IFERROR(VLOOKUP(ROWS($Z$3:Z216),$X$3:$Y$992,2,0),"")</f>
        <v>Výroba kovoobráběcích a ostatních obráběcích strojů</v>
      </c>
    </row>
    <row r="217" spans="10:26">
      <c r="J217" s="335" t="s">
        <v>1807</v>
      </c>
      <c r="K217" s="323" t="s">
        <v>1808</v>
      </c>
      <c r="M217" s="324">
        <f>IF(ISNUMBER(SEARCH(ZAKL_DATA!$B$29,N217)),MAX($M$2:M216)+1,0)</f>
        <v>215</v>
      </c>
      <c r="N217" s="325" t="s">
        <v>1809</v>
      </c>
      <c r="O217" s="326" t="s">
        <v>1810</v>
      </c>
      <c r="Q217" s="327" t="str">
        <f>IFERROR(VLOOKUP(ROWS($Q$3:Q217),$M$3:$N$992,2,0),"")</f>
        <v>Výroba ostatních strojů pro speciální účely</v>
      </c>
      <c r="R217">
        <f>IF(ISNUMBER(SEARCH('1Př1'!$A$32,N217)),MAX($M$2:M216)+1,0)</f>
        <v>215</v>
      </c>
      <c r="S217" s="325" t="s">
        <v>1809</v>
      </c>
      <c r="T217" t="str">
        <f>IFERROR(VLOOKUP(ROWS($T$3:T217),$R$3:$S$992,2,0),"")</f>
        <v>Výroba ostatních strojů pro speciální účely</v>
      </c>
      <c r="U217">
        <f>IF(ISNUMBER(SEARCH('1Př1'!$A$33,N217)),MAX($M$2:M216)+1,0)</f>
        <v>215</v>
      </c>
      <c r="V217" s="325" t="s">
        <v>1809</v>
      </c>
      <c r="W217" t="str">
        <f>IFERROR(VLOOKUP(ROWS($W$3:W217),$U$3:$V$992,2,0),"")</f>
        <v>Výroba ostatních strojů pro speciální účely</v>
      </c>
      <c r="X217">
        <f>IF(ISNUMBER(SEARCH('1Př1'!$A$34,N217)),MAX($M$2:M216)+1,0)</f>
        <v>215</v>
      </c>
      <c r="Y217" s="325" t="s">
        <v>1809</v>
      </c>
      <c r="Z217" t="str">
        <f>IFERROR(VLOOKUP(ROWS($Z$3:Z217),$X$3:$Y$992,2,0),"")</f>
        <v>Výroba ostatních strojů pro speciální účely</v>
      </c>
    </row>
    <row r="218" spans="10:26">
      <c r="J218" s="335" t="s">
        <v>1811</v>
      </c>
      <c r="K218" s="323" t="s">
        <v>1812</v>
      </c>
      <c r="M218" s="324">
        <f>IF(ISNUMBER(SEARCH(ZAKL_DATA!$B$29,N218)),MAX($M$2:M217)+1,0)</f>
        <v>216</v>
      </c>
      <c r="N218" s="325" t="s">
        <v>1813</v>
      </c>
      <c r="O218" s="326" t="s">
        <v>1814</v>
      </c>
      <c r="Q218" s="327" t="str">
        <f>IFERROR(VLOOKUP(ROWS($Q$3:Q218),$M$3:$N$992,2,0),"")</f>
        <v>Výroba motorových vozidel a jejich motorů</v>
      </c>
      <c r="R218">
        <f>IF(ISNUMBER(SEARCH('1Př1'!$A$32,N218)),MAX($M$2:M217)+1,0)</f>
        <v>216</v>
      </c>
      <c r="S218" s="325" t="s">
        <v>1813</v>
      </c>
      <c r="T218" t="str">
        <f>IFERROR(VLOOKUP(ROWS($T$3:T218),$R$3:$S$992,2,0),"")</f>
        <v>Výroba motorových vozidel a jejich motorů</v>
      </c>
      <c r="U218">
        <f>IF(ISNUMBER(SEARCH('1Př1'!$A$33,N218)),MAX($M$2:M217)+1,0)</f>
        <v>216</v>
      </c>
      <c r="V218" s="325" t="s">
        <v>1813</v>
      </c>
      <c r="W218" t="str">
        <f>IFERROR(VLOOKUP(ROWS($W$3:W218),$U$3:$V$992,2,0),"")</f>
        <v>Výroba motorových vozidel a jejich motorů</v>
      </c>
      <c r="X218">
        <f>IF(ISNUMBER(SEARCH('1Př1'!$A$34,N218)),MAX($M$2:M217)+1,0)</f>
        <v>216</v>
      </c>
      <c r="Y218" s="325" t="s">
        <v>1813</v>
      </c>
      <c r="Z218" t="str">
        <f>IFERROR(VLOOKUP(ROWS($Z$3:Z218),$X$3:$Y$992,2,0),"")</f>
        <v>Výroba motorových vozidel a jejich motorů</v>
      </c>
    </row>
    <row r="219" spans="10:26">
      <c r="J219" s="335" t="s">
        <v>1815</v>
      </c>
      <c r="K219" s="323" t="s">
        <v>1816</v>
      </c>
      <c r="M219" s="324">
        <f>IF(ISNUMBER(SEARCH(ZAKL_DATA!$B$29,N219)),MAX($M$2:M218)+1,0)</f>
        <v>217</v>
      </c>
      <c r="N219" s="325" t="s">
        <v>1817</v>
      </c>
      <c r="O219" s="326" t="s">
        <v>1818</v>
      </c>
      <c r="Q219" s="327" t="str">
        <f>IFERROR(VLOOKUP(ROWS($Q$3:Q219),$M$3:$N$992,2,0),"")</f>
        <v>Výroba karoserií motorových vozidel; výroba přívěsů a návěsů</v>
      </c>
      <c r="R219">
        <f>IF(ISNUMBER(SEARCH('1Př1'!$A$32,N219)),MAX($M$2:M218)+1,0)</f>
        <v>217</v>
      </c>
      <c r="S219" s="325" t="s">
        <v>1817</v>
      </c>
      <c r="T219" t="str">
        <f>IFERROR(VLOOKUP(ROWS($T$3:T219),$R$3:$S$992,2,0),"")</f>
        <v>Výroba karoserií motorových vozidel; výroba přívěsů a návěsů</v>
      </c>
      <c r="U219">
        <f>IF(ISNUMBER(SEARCH('1Př1'!$A$33,N219)),MAX($M$2:M218)+1,0)</f>
        <v>217</v>
      </c>
      <c r="V219" s="325" t="s">
        <v>1817</v>
      </c>
      <c r="W219" t="str">
        <f>IFERROR(VLOOKUP(ROWS($W$3:W219),$U$3:$V$992,2,0),"")</f>
        <v>Výroba karoserií motorových vozidel; výroba přívěsů a návěsů</v>
      </c>
      <c r="X219">
        <f>IF(ISNUMBER(SEARCH('1Př1'!$A$34,N219)),MAX($M$2:M218)+1,0)</f>
        <v>217</v>
      </c>
      <c r="Y219" s="325" t="s">
        <v>1817</v>
      </c>
      <c r="Z219" t="str">
        <f>IFERROR(VLOOKUP(ROWS($Z$3:Z219),$X$3:$Y$992,2,0),"")</f>
        <v>Výroba karoserií motorových vozidel; výroba přívěsů a návěsů</v>
      </c>
    </row>
    <row r="220" spans="10:26">
      <c r="J220" s="335" t="s">
        <v>1819</v>
      </c>
      <c r="K220" s="323" t="s">
        <v>1820</v>
      </c>
      <c r="M220" s="324">
        <f>IF(ISNUMBER(SEARCH(ZAKL_DATA!$B$29,N220)),MAX($M$2:M219)+1,0)</f>
        <v>218</v>
      </c>
      <c r="N220" s="325" t="s">
        <v>1821</v>
      </c>
      <c r="O220" s="326" t="s">
        <v>1822</v>
      </c>
      <c r="Q220" s="327" t="str">
        <f>IFERROR(VLOOKUP(ROWS($Q$3:Q220),$M$3:$N$992,2,0),"")</f>
        <v>Výroba dílů a příslušenství pro motorová vozidla a jejich motory</v>
      </c>
      <c r="R220">
        <f>IF(ISNUMBER(SEARCH('1Př1'!$A$32,N220)),MAX($M$2:M219)+1,0)</f>
        <v>218</v>
      </c>
      <c r="S220" s="325" t="s">
        <v>1821</v>
      </c>
      <c r="T220" t="str">
        <f>IFERROR(VLOOKUP(ROWS($T$3:T220),$R$3:$S$992,2,0),"")</f>
        <v>Výroba dílů a příslušenství pro motorová vozidla a jejich motory</v>
      </c>
      <c r="U220">
        <f>IF(ISNUMBER(SEARCH('1Př1'!$A$33,N220)),MAX($M$2:M219)+1,0)</f>
        <v>218</v>
      </c>
      <c r="V220" s="325" t="s">
        <v>1821</v>
      </c>
      <c r="W220" t="str">
        <f>IFERROR(VLOOKUP(ROWS($W$3:W220),$U$3:$V$992,2,0),"")</f>
        <v>Výroba dílů a příslušenství pro motorová vozidla a jejich motory</v>
      </c>
      <c r="X220">
        <f>IF(ISNUMBER(SEARCH('1Př1'!$A$34,N220)),MAX($M$2:M219)+1,0)</f>
        <v>218</v>
      </c>
      <c r="Y220" s="325" t="s">
        <v>1821</v>
      </c>
      <c r="Z220" t="str">
        <f>IFERROR(VLOOKUP(ROWS($Z$3:Z220),$X$3:$Y$992,2,0),"")</f>
        <v>Výroba dílů a příslušenství pro motorová vozidla a jejich motory</v>
      </c>
    </row>
    <row r="221" spans="10:26">
      <c r="J221" s="335" t="s">
        <v>1823</v>
      </c>
      <c r="K221" s="323" t="s">
        <v>1824</v>
      </c>
      <c r="M221" s="324">
        <f>IF(ISNUMBER(SEARCH(ZAKL_DATA!$B$29,N221)),MAX($M$2:M220)+1,0)</f>
        <v>219</v>
      </c>
      <c r="N221" s="325" t="s">
        <v>1825</v>
      </c>
      <c r="O221" s="326" t="s">
        <v>1826</v>
      </c>
      <c r="Q221" s="327" t="str">
        <f>IFERROR(VLOOKUP(ROWS($Q$3:Q221),$M$3:$N$992,2,0),"")</f>
        <v>Stavba lodí a člunů</v>
      </c>
      <c r="R221">
        <f>IF(ISNUMBER(SEARCH('1Př1'!$A$32,N221)),MAX($M$2:M220)+1,0)</f>
        <v>219</v>
      </c>
      <c r="S221" s="325" t="s">
        <v>1825</v>
      </c>
      <c r="T221" t="str">
        <f>IFERROR(VLOOKUP(ROWS($T$3:T221),$R$3:$S$992,2,0),"")</f>
        <v>Stavba lodí a člunů</v>
      </c>
      <c r="U221">
        <f>IF(ISNUMBER(SEARCH('1Př1'!$A$33,N221)),MAX($M$2:M220)+1,0)</f>
        <v>219</v>
      </c>
      <c r="V221" s="325" t="s">
        <v>1825</v>
      </c>
      <c r="W221" t="str">
        <f>IFERROR(VLOOKUP(ROWS($W$3:W221),$U$3:$V$992,2,0),"")</f>
        <v>Stavba lodí a člunů</v>
      </c>
      <c r="X221">
        <f>IF(ISNUMBER(SEARCH('1Př1'!$A$34,N221)),MAX($M$2:M220)+1,0)</f>
        <v>219</v>
      </c>
      <c r="Y221" s="325" t="s">
        <v>1825</v>
      </c>
      <c r="Z221" t="str">
        <f>IFERROR(VLOOKUP(ROWS($Z$3:Z221),$X$3:$Y$992,2,0),"")</f>
        <v>Stavba lodí a člunů</v>
      </c>
    </row>
    <row r="222" spans="10:26">
      <c r="J222" s="334" t="s">
        <v>1827</v>
      </c>
      <c r="K222" s="323" t="s">
        <v>1828</v>
      </c>
      <c r="M222" s="324">
        <f>IF(ISNUMBER(SEARCH(ZAKL_DATA!$B$29,N222)),MAX($M$2:M221)+1,0)</f>
        <v>220</v>
      </c>
      <c r="N222" s="325" t="s">
        <v>1829</v>
      </c>
      <c r="O222" s="340" t="s">
        <v>1830</v>
      </c>
      <c r="Q222" s="327" t="str">
        <f>IFERROR(VLOOKUP(ROWS($Q$3:Q222),$M$3:$N$992,2,0),"")</f>
        <v>Výroba železničních lokomotiv a vozového parku</v>
      </c>
      <c r="R222">
        <f>IF(ISNUMBER(SEARCH('1Př1'!$A$32,N222)),MAX($M$2:M221)+1,0)</f>
        <v>220</v>
      </c>
      <c r="S222" s="325" t="s">
        <v>1829</v>
      </c>
      <c r="T222" t="str">
        <f>IFERROR(VLOOKUP(ROWS($T$3:T222),$R$3:$S$992,2,0),"")</f>
        <v>Výroba železničních lokomotiv a vozového parku</v>
      </c>
      <c r="U222">
        <f>IF(ISNUMBER(SEARCH('1Př1'!$A$33,N222)),MAX($M$2:M221)+1,0)</f>
        <v>220</v>
      </c>
      <c r="V222" s="325" t="s">
        <v>1829</v>
      </c>
      <c r="W222" t="str">
        <f>IFERROR(VLOOKUP(ROWS($W$3:W222),$U$3:$V$992,2,0),"")</f>
        <v>Výroba železničních lokomotiv a vozového parku</v>
      </c>
      <c r="X222">
        <f>IF(ISNUMBER(SEARCH('1Př1'!$A$34,N222)),MAX($M$2:M221)+1,0)</f>
        <v>220</v>
      </c>
      <c r="Y222" s="325" t="s">
        <v>1829</v>
      </c>
      <c r="Z222" t="str">
        <f>IFERROR(VLOOKUP(ROWS($Z$3:Z222),$X$3:$Y$992,2,0),"")</f>
        <v>Výroba železničních lokomotiv a vozového parku</v>
      </c>
    </row>
    <row r="223" spans="10:26">
      <c r="J223" s="335" t="s">
        <v>1831</v>
      </c>
      <c r="K223" s="323" t="s">
        <v>1832</v>
      </c>
      <c r="M223" s="324">
        <f>IF(ISNUMBER(SEARCH(ZAKL_DATA!$B$29,N223)),MAX($M$2:M222)+1,0)</f>
        <v>221</v>
      </c>
      <c r="N223" s="325" t="s">
        <v>1833</v>
      </c>
      <c r="O223" s="340" t="s">
        <v>1834</v>
      </c>
      <c r="Q223" s="327" t="str">
        <f>IFERROR(VLOOKUP(ROWS($Q$3:Q223),$M$3:$N$992,2,0),"")</f>
        <v>Výroba letadel a jejich motorů,kosmických lodí a souvisejících zařízení</v>
      </c>
      <c r="R223">
        <f>IF(ISNUMBER(SEARCH('1Př1'!$A$32,N223)),MAX($M$2:M222)+1,0)</f>
        <v>221</v>
      </c>
      <c r="S223" s="325" t="s">
        <v>1833</v>
      </c>
      <c r="T223" t="str">
        <f>IFERROR(VLOOKUP(ROWS($T$3:T223),$R$3:$S$992,2,0),"")</f>
        <v>Výroba letadel a jejich motorů,kosmických lodí a souvisejících zařízení</v>
      </c>
      <c r="U223">
        <f>IF(ISNUMBER(SEARCH('1Př1'!$A$33,N223)),MAX($M$2:M222)+1,0)</f>
        <v>221</v>
      </c>
      <c r="V223" s="325" t="s">
        <v>1833</v>
      </c>
      <c r="W223" t="str">
        <f>IFERROR(VLOOKUP(ROWS($W$3:W223),$U$3:$V$992,2,0),"")</f>
        <v>Výroba letadel a jejich motorů,kosmických lodí a souvisejících zařízení</v>
      </c>
      <c r="X223">
        <f>IF(ISNUMBER(SEARCH('1Př1'!$A$34,N223)),MAX($M$2:M222)+1,0)</f>
        <v>221</v>
      </c>
      <c r="Y223" s="325" t="s">
        <v>1833</v>
      </c>
      <c r="Z223" t="str">
        <f>IFERROR(VLOOKUP(ROWS($Z$3:Z223),$X$3:$Y$992,2,0),"")</f>
        <v>Výroba letadel a jejich motorů,kosmických lodí a souvisejících zařízení</v>
      </c>
    </row>
    <row r="224" spans="10:26">
      <c r="J224" s="335" t="s">
        <v>1835</v>
      </c>
      <c r="K224" s="323" t="s">
        <v>1836</v>
      </c>
      <c r="M224" s="324">
        <f>IF(ISNUMBER(SEARCH(ZAKL_DATA!$B$29,N224)),MAX($M$2:M223)+1,0)</f>
        <v>222</v>
      </c>
      <c r="N224" s="325" t="s">
        <v>1837</v>
      </c>
      <c r="O224" s="340" t="s">
        <v>1838</v>
      </c>
      <c r="Q224" s="327" t="str">
        <f>IFERROR(VLOOKUP(ROWS($Q$3:Q224),$M$3:$N$992,2,0),"")</f>
        <v>Výroba vojenských bojových vozidel</v>
      </c>
      <c r="R224">
        <f>IF(ISNUMBER(SEARCH('1Př1'!$A$32,N224)),MAX($M$2:M223)+1,0)</f>
        <v>222</v>
      </c>
      <c r="S224" s="325" t="s">
        <v>1837</v>
      </c>
      <c r="T224" t="str">
        <f>IFERROR(VLOOKUP(ROWS($T$3:T224),$R$3:$S$992,2,0),"")</f>
        <v>Výroba vojenských bojových vozidel</v>
      </c>
      <c r="U224">
        <f>IF(ISNUMBER(SEARCH('1Př1'!$A$33,N224)),MAX($M$2:M223)+1,0)</f>
        <v>222</v>
      </c>
      <c r="V224" s="325" t="s">
        <v>1837</v>
      </c>
      <c r="W224" t="str">
        <f>IFERROR(VLOOKUP(ROWS($W$3:W224),$U$3:$V$992,2,0),"")</f>
        <v>Výroba vojenských bojových vozidel</v>
      </c>
      <c r="X224">
        <f>IF(ISNUMBER(SEARCH('1Př1'!$A$34,N224)),MAX($M$2:M223)+1,0)</f>
        <v>222</v>
      </c>
      <c r="Y224" s="325" t="s">
        <v>1837</v>
      </c>
      <c r="Z224" t="str">
        <f>IFERROR(VLOOKUP(ROWS($Z$3:Z224),$X$3:$Y$992,2,0),"")</f>
        <v>Výroba vojenských bojových vozidel</v>
      </c>
    </row>
    <row r="225" spans="10:26">
      <c r="J225" s="335" t="s">
        <v>1839</v>
      </c>
      <c r="K225" s="323" t="s">
        <v>1840</v>
      </c>
      <c r="M225" s="324">
        <f>IF(ISNUMBER(SEARCH(ZAKL_DATA!$B$29,N225)),MAX($M$2:M224)+1,0)</f>
        <v>223</v>
      </c>
      <c r="N225" s="325" t="s">
        <v>1841</v>
      </c>
      <c r="O225" s="340" t="s">
        <v>1842</v>
      </c>
      <c r="Q225" s="327" t="str">
        <f>IFERROR(VLOOKUP(ROWS($Q$3:Q225),$M$3:$N$992,2,0),"")</f>
        <v>Výroba dopravních prostředků a zařízení j. n.</v>
      </c>
      <c r="R225">
        <f>IF(ISNUMBER(SEARCH('1Př1'!$A$32,N225)),MAX($M$2:M224)+1,0)</f>
        <v>223</v>
      </c>
      <c r="S225" s="325" t="s">
        <v>1841</v>
      </c>
      <c r="T225" t="str">
        <f>IFERROR(VLOOKUP(ROWS($T$3:T225),$R$3:$S$992,2,0),"")</f>
        <v>Výroba dopravních prostředků a zařízení j. n.</v>
      </c>
      <c r="U225">
        <f>IF(ISNUMBER(SEARCH('1Př1'!$A$33,N225)),MAX($M$2:M224)+1,0)</f>
        <v>223</v>
      </c>
      <c r="V225" s="325" t="s">
        <v>1841</v>
      </c>
      <c r="W225" t="str">
        <f>IFERROR(VLOOKUP(ROWS($W$3:W225),$U$3:$V$992,2,0),"")</f>
        <v>Výroba dopravních prostředků a zařízení j. n.</v>
      </c>
      <c r="X225">
        <f>IF(ISNUMBER(SEARCH('1Př1'!$A$34,N225)),MAX($M$2:M224)+1,0)</f>
        <v>223</v>
      </c>
      <c r="Y225" s="325" t="s">
        <v>1841</v>
      </c>
      <c r="Z225" t="str">
        <f>IFERROR(VLOOKUP(ROWS($Z$3:Z225),$X$3:$Y$992,2,0),"")</f>
        <v>Výroba dopravních prostředků a zařízení j. n.</v>
      </c>
    </row>
    <row r="226" spans="10:26">
      <c r="J226" s="335" t="s">
        <v>1843</v>
      </c>
      <c r="K226" s="323" t="s">
        <v>1844</v>
      </c>
      <c r="M226" s="324">
        <f>IF(ISNUMBER(SEARCH(ZAKL_DATA!$B$29,N226)),MAX($M$2:M225)+1,0)</f>
        <v>224</v>
      </c>
      <c r="N226" s="325" t="s">
        <v>1845</v>
      </c>
      <c r="O226" s="340" t="s">
        <v>1846</v>
      </c>
      <c r="Q226" s="327" t="str">
        <f>IFERROR(VLOOKUP(ROWS($Q$3:Q226),$M$3:$N$992,2,0),"")</f>
        <v>Mořský rybolov</v>
      </c>
      <c r="R226">
        <f>IF(ISNUMBER(SEARCH('1Př1'!$A$32,N226)),MAX($M$2:M225)+1,0)</f>
        <v>224</v>
      </c>
      <c r="S226" s="325" t="s">
        <v>1845</v>
      </c>
      <c r="T226" t="str">
        <f>IFERROR(VLOOKUP(ROWS($T$3:T226),$R$3:$S$992,2,0),"")</f>
        <v>Mořský rybolov</v>
      </c>
      <c r="U226">
        <f>IF(ISNUMBER(SEARCH('1Př1'!$A$33,N226)),MAX($M$2:M225)+1,0)</f>
        <v>224</v>
      </c>
      <c r="V226" s="325" t="s">
        <v>1845</v>
      </c>
      <c r="W226" t="str">
        <f>IFERROR(VLOOKUP(ROWS($W$3:W226),$U$3:$V$992,2,0),"")</f>
        <v>Mořský rybolov</v>
      </c>
      <c r="X226">
        <f>IF(ISNUMBER(SEARCH('1Př1'!$A$34,N226)),MAX($M$2:M225)+1,0)</f>
        <v>224</v>
      </c>
      <c r="Y226" s="325" t="s">
        <v>1845</v>
      </c>
      <c r="Z226" t="str">
        <f>IFERROR(VLOOKUP(ROWS($Z$3:Z226),$X$3:$Y$992,2,0),"")</f>
        <v>Mořský rybolov</v>
      </c>
    </row>
    <row r="227" spans="10:26">
      <c r="J227" s="335" t="s">
        <v>1847</v>
      </c>
      <c r="K227" s="323" t="s">
        <v>1848</v>
      </c>
      <c r="M227" s="324">
        <f>IF(ISNUMBER(SEARCH(ZAKL_DATA!$B$29,N227)),MAX($M$2:M226)+1,0)</f>
        <v>225</v>
      </c>
      <c r="N227" s="325" t="s">
        <v>1849</v>
      </c>
      <c r="O227" s="340" t="s">
        <v>1850</v>
      </c>
      <c r="Q227" s="327" t="str">
        <f>IFERROR(VLOOKUP(ROWS($Q$3:Q227),$M$3:$N$992,2,0),"")</f>
        <v>Sladkovodní rybolov</v>
      </c>
      <c r="R227">
        <f>IF(ISNUMBER(SEARCH('1Př1'!$A$32,N227)),MAX($M$2:M226)+1,0)</f>
        <v>225</v>
      </c>
      <c r="S227" s="325" t="s">
        <v>1849</v>
      </c>
      <c r="T227" t="str">
        <f>IFERROR(VLOOKUP(ROWS($T$3:T227),$R$3:$S$992,2,0),"")</f>
        <v>Sladkovodní rybolov</v>
      </c>
      <c r="U227">
        <f>IF(ISNUMBER(SEARCH('1Př1'!$A$33,N227)),MAX($M$2:M226)+1,0)</f>
        <v>225</v>
      </c>
      <c r="V227" s="325" t="s">
        <v>1849</v>
      </c>
      <c r="W227" t="str">
        <f>IFERROR(VLOOKUP(ROWS($W$3:W227),$U$3:$V$992,2,0),"")</f>
        <v>Sladkovodní rybolov</v>
      </c>
      <c r="X227">
        <f>IF(ISNUMBER(SEARCH('1Př1'!$A$34,N227)),MAX($M$2:M226)+1,0)</f>
        <v>225</v>
      </c>
      <c r="Y227" s="325" t="s">
        <v>1849</v>
      </c>
      <c r="Z227" t="str">
        <f>IFERROR(VLOOKUP(ROWS($Z$3:Z227),$X$3:$Y$992,2,0),"")</f>
        <v>Sladkovodní rybolov</v>
      </c>
    </row>
    <row r="228" spans="10:26">
      <c r="J228" s="335" t="s">
        <v>1851</v>
      </c>
      <c r="K228" s="323" t="s">
        <v>1852</v>
      </c>
      <c r="M228" s="324">
        <f>IF(ISNUMBER(SEARCH(ZAKL_DATA!$B$29,N228)),MAX($M$2:M227)+1,0)</f>
        <v>226</v>
      </c>
      <c r="N228" s="325" t="s">
        <v>1853</v>
      </c>
      <c r="O228" s="340" t="s">
        <v>1854</v>
      </c>
      <c r="Q228" s="327" t="str">
        <f>IFERROR(VLOOKUP(ROWS($Q$3:Q228),$M$3:$N$992,2,0),"")</f>
        <v>Výroba klenotů, bižuterie a příbuzných výrobků</v>
      </c>
      <c r="R228">
        <f>IF(ISNUMBER(SEARCH('1Př1'!$A$32,N228)),MAX($M$2:M227)+1,0)</f>
        <v>226</v>
      </c>
      <c r="S228" s="325" t="s">
        <v>1853</v>
      </c>
      <c r="T228" t="str">
        <f>IFERROR(VLOOKUP(ROWS($T$3:T228),$R$3:$S$992,2,0),"")</f>
        <v>Výroba klenotů, bižuterie a příbuzných výrobků</v>
      </c>
      <c r="U228">
        <f>IF(ISNUMBER(SEARCH('1Př1'!$A$33,N228)),MAX($M$2:M227)+1,0)</f>
        <v>226</v>
      </c>
      <c r="V228" s="325" t="s">
        <v>1853</v>
      </c>
      <c r="W228" t="str">
        <f>IFERROR(VLOOKUP(ROWS($W$3:W228),$U$3:$V$992,2,0),"")</f>
        <v>Výroba klenotů, bižuterie a příbuzných výrobků</v>
      </c>
      <c r="X228">
        <f>IF(ISNUMBER(SEARCH('1Př1'!$A$34,N228)),MAX($M$2:M227)+1,0)</f>
        <v>226</v>
      </c>
      <c r="Y228" s="325" t="s">
        <v>1853</v>
      </c>
      <c r="Z228" t="str">
        <f>IFERROR(VLOOKUP(ROWS($Z$3:Z228),$X$3:$Y$992,2,0),"")</f>
        <v>Výroba klenotů, bižuterie a příbuzných výrobků</v>
      </c>
    </row>
    <row r="229" spans="10:26">
      <c r="J229" s="335" t="s">
        <v>1855</v>
      </c>
      <c r="K229" s="323" t="s">
        <v>1856</v>
      </c>
      <c r="M229" s="324">
        <f>IF(ISNUMBER(SEARCH(ZAKL_DATA!$B$29,N229)),MAX($M$2:M228)+1,0)</f>
        <v>227</v>
      </c>
      <c r="N229" s="325" t="s">
        <v>1857</v>
      </c>
      <c r="O229" s="340" t="s">
        <v>1858</v>
      </c>
      <c r="Q229" s="327" t="str">
        <f>IFERROR(VLOOKUP(ROWS($Q$3:Q229),$M$3:$N$992,2,0),"")</f>
        <v>Mořská akvakultura</v>
      </c>
      <c r="R229">
        <f>IF(ISNUMBER(SEARCH('1Př1'!$A$32,N229)),MAX($M$2:M228)+1,0)</f>
        <v>227</v>
      </c>
      <c r="S229" s="325" t="s">
        <v>1857</v>
      </c>
      <c r="T229" t="str">
        <f>IFERROR(VLOOKUP(ROWS($T$3:T229),$R$3:$S$992,2,0),"")</f>
        <v>Mořská akvakultura</v>
      </c>
      <c r="U229">
        <f>IF(ISNUMBER(SEARCH('1Př1'!$A$33,N229)),MAX($M$2:M228)+1,0)</f>
        <v>227</v>
      </c>
      <c r="V229" s="325" t="s">
        <v>1857</v>
      </c>
      <c r="W229" t="str">
        <f>IFERROR(VLOOKUP(ROWS($W$3:W229),$U$3:$V$992,2,0),"")</f>
        <v>Mořská akvakultura</v>
      </c>
      <c r="X229">
        <f>IF(ISNUMBER(SEARCH('1Př1'!$A$34,N229)),MAX($M$2:M228)+1,0)</f>
        <v>227</v>
      </c>
      <c r="Y229" s="325" t="s">
        <v>1857</v>
      </c>
      <c r="Z229" t="str">
        <f>IFERROR(VLOOKUP(ROWS($Z$3:Z229),$X$3:$Y$992,2,0),"")</f>
        <v>Mořská akvakultura</v>
      </c>
    </row>
    <row r="230" spans="10:26">
      <c r="J230" s="335" t="s">
        <v>1859</v>
      </c>
      <c r="K230" s="323" t="s">
        <v>1860</v>
      </c>
      <c r="M230" s="324">
        <f>IF(ISNUMBER(SEARCH(ZAKL_DATA!$B$29,N230)),MAX($M$2:M229)+1,0)</f>
        <v>228</v>
      </c>
      <c r="N230" s="325" t="s">
        <v>1861</v>
      </c>
      <c r="O230" s="340" t="s">
        <v>1862</v>
      </c>
      <c r="Q230" s="327" t="str">
        <f>IFERROR(VLOOKUP(ROWS($Q$3:Q230),$M$3:$N$992,2,0),"")</f>
        <v>Výroba hudebních nástrojů</v>
      </c>
      <c r="R230">
        <f>IF(ISNUMBER(SEARCH('1Př1'!$A$32,N230)),MAX($M$2:M229)+1,0)</f>
        <v>228</v>
      </c>
      <c r="S230" s="325" t="s">
        <v>1861</v>
      </c>
      <c r="T230" t="str">
        <f>IFERROR(VLOOKUP(ROWS($T$3:T230),$R$3:$S$992,2,0),"")</f>
        <v>Výroba hudebních nástrojů</v>
      </c>
      <c r="U230">
        <f>IF(ISNUMBER(SEARCH('1Př1'!$A$33,N230)),MAX($M$2:M229)+1,0)</f>
        <v>228</v>
      </c>
      <c r="V230" s="325" t="s">
        <v>1861</v>
      </c>
      <c r="W230" t="str">
        <f>IFERROR(VLOOKUP(ROWS($W$3:W230),$U$3:$V$992,2,0),"")</f>
        <v>Výroba hudebních nástrojů</v>
      </c>
      <c r="X230">
        <f>IF(ISNUMBER(SEARCH('1Př1'!$A$34,N230)),MAX($M$2:M229)+1,0)</f>
        <v>228</v>
      </c>
      <c r="Y230" s="325" t="s">
        <v>1861</v>
      </c>
      <c r="Z230" t="str">
        <f>IFERROR(VLOOKUP(ROWS($Z$3:Z230),$X$3:$Y$992,2,0),"")</f>
        <v>Výroba hudebních nástrojů</v>
      </c>
    </row>
    <row r="231" spans="10:26">
      <c r="J231" s="335" t="s">
        <v>1863</v>
      </c>
      <c r="K231" s="323" t="s">
        <v>1864</v>
      </c>
      <c r="M231" s="324">
        <f>IF(ISNUMBER(SEARCH(ZAKL_DATA!$B$29,N231)),MAX($M$2:M230)+1,0)</f>
        <v>229</v>
      </c>
      <c r="N231" s="325" t="s">
        <v>1865</v>
      </c>
      <c r="O231" s="340" t="s">
        <v>1866</v>
      </c>
      <c r="Q231" s="327" t="str">
        <f>IFERROR(VLOOKUP(ROWS($Q$3:Q231),$M$3:$N$992,2,0),"")</f>
        <v>Sladkovodní akvakultura</v>
      </c>
      <c r="R231">
        <f>IF(ISNUMBER(SEARCH('1Př1'!$A$32,N231)),MAX($M$2:M230)+1,0)</f>
        <v>229</v>
      </c>
      <c r="S231" s="325" t="s">
        <v>1865</v>
      </c>
      <c r="T231" t="str">
        <f>IFERROR(VLOOKUP(ROWS($T$3:T231),$R$3:$S$992,2,0),"")</f>
        <v>Sladkovodní akvakultura</v>
      </c>
      <c r="U231">
        <f>IF(ISNUMBER(SEARCH('1Př1'!$A$33,N231)),MAX($M$2:M230)+1,0)</f>
        <v>229</v>
      </c>
      <c r="V231" s="325" t="s">
        <v>1865</v>
      </c>
      <c r="W231" t="str">
        <f>IFERROR(VLOOKUP(ROWS($W$3:W231),$U$3:$V$992,2,0),"")</f>
        <v>Sladkovodní akvakultura</v>
      </c>
      <c r="X231">
        <f>IF(ISNUMBER(SEARCH('1Př1'!$A$34,N231)),MAX($M$2:M230)+1,0)</f>
        <v>229</v>
      </c>
      <c r="Y231" s="325" t="s">
        <v>1865</v>
      </c>
      <c r="Z231" t="str">
        <f>IFERROR(VLOOKUP(ROWS($Z$3:Z231),$X$3:$Y$992,2,0),"")</f>
        <v>Sladkovodní akvakultura</v>
      </c>
    </row>
    <row r="232" spans="10:26">
      <c r="J232" s="335" t="s">
        <v>1867</v>
      </c>
      <c r="K232" s="323" t="s">
        <v>1868</v>
      </c>
      <c r="M232" s="324">
        <f>IF(ISNUMBER(SEARCH(ZAKL_DATA!$B$29,N232)),MAX($M$2:M231)+1,0)</f>
        <v>230</v>
      </c>
      <c r="N232" s="325" t="s">
        <v>1869</v>
      </c>
      <c r="O232" s="340" t="s">
        <v>1870</v>
      </c>
      <c r="Q232" s="327" t="str">
        <f>IFERROR(VLOOKUP(ROWS($Q$3:Q232),$M$3:$N$992,2,0),"")</f>
        <v>Výroba sportovních potřeb</v>
      </c>
      <c r="R232">
        <f>IF(ISNUMBER(SEARCH('1Př1'!$A$32,N232)),MAX($M$2:M231)+1,0)</f>
        <v>230</v>
      </c>
      <c r="S232" s="325" t="s">
        <v>1869</v>
      </c>
      <c r="T232" t="str">
        <f>IFERROR(VLOOKUP(ROWS($T$3:T232),$R$3:$S$992,2,0),"")</f>
        <v>Výroba sportovních potřeb</v>
      </c>
      <c r="U232">
        <f>IF(ISNUMBER(SEARCH('1Př1'!$A$33,N232)),MAX($M$2:M231)+1,0)</f>
        <v>230</v>
      </c>
      <c r="V232" s="325" t="s">
        <v>1869</v>
      </c>
      <c r="W232" t="str">
        <f>IFERROR(VLOOKUP(ROWS($W$3:W232),$U$3:$V$992,2,0),"")</f>
        <v>Výroba sportovních potřeb</v>
      </c>
      <c r="X232">
        <f>IF(ISNUMBER(SEARCH('1Př1'!$A$34,N232)),MAX($M$2:M231)+1,0)</f>
        <v>230</v>
      </c>
      <c r="Y232" s="325" t="s">
        <v>1869</v>
      </c>
      <c r="Z232" t="str">
        <f>IFERROR(VLOOKUP(ROWS($Z$3:Z232),$X$3:$Y$992,2,0),"")</f>
        <v>Výroba sportovních potřeb</v>
      </c>
    </row>
    <row r="233" spans="10:26">
      <c r="J233" s="335" t="s">
        <v>1871</v>
      </c>
      <c r="K233" s="323" t="s">
        <v>1872</v>
      </c>
      <c r="M233" s="324">
        <f>IF(ISNUMBER(SEARCH(ZAKL_DATA!$B$29,N233)),MAX($M$2:M232)+1,0)</f>
        <v>231</v>
      </c>
      <c r="N233" s="325" t="s">
        <v>1873</v>
      </c>
      <c r="O233" s="340" t="s">
        <v>1874</v>
      </c>
      <c r="Q233" s="327" t="str">
        <f>IFERROR(VLOOKUP(ROWS($Q$3:Q233),$M$3:$N$992,2,0),"")</f>
        <v>Výroba her a hraček</v>
      </c>
      <c r="R233">
        <f>IF(ISNUMBER(SEARCH('1Př1'!$A$32,N233)),MAX($M$2:M232)+1,0)</f>
        <v>231</v>
      </c>
      <c r="S233" s="325" t="s">
        <v>1873</v>
      </c>
      <c r="T233" t="str">
        <f>IFERROR(VLOOKUP(ROWS($T$3:T233),$R$3:$S$992,2,0),"")</f>
        <v>Výroba her a hraček</v>
      </c>
      <c r="U233">
        <f>IF(ISNUMBER(SEARCH('1Př1'!$A$33,N233)),MAX($M$2:M232)+1,0)</f>
        <v>231</v>
      </c>
      <c r="V233" s="325" t="s">
        <v>1873</v>
      </c>
      <c r="W233" t="str">
        <f>IFERROR(VLOOKUP(ROWS($W$3:W233),$U$3:$V$992,2,0),"")</f>
        <v>Výroba her a hraček</v>
      </c>
      <c r="X233">
        <f>IF(ISNUMBER(SEARCH('1Př1'!$A$34,N233)),MAX($M$2:M232)+1,0)</f>
        <v>231</v>
      </c>
      <c r="Y233" s="325" t="s">
        <v>1873</v>
      </c>
      <c r="Z233" t="str">
        <f>IFERROR(VLOOKUP(ROWS($Z$3:Z233),$X$3:$Y$992,2,0),"")</f>
        <v>Výroba her a hraček</v>
      </c>
    </row>
    <row r="234" spans="10:26">
      <c r="J234" s="335" t="s">
        <v>1875</v>
      </c>
      <c r="K234" s="323" t="s">
        <v>1876</v>
      </c>
      <c r="M234" s="324">
        <f>IF(ISNUMBER(SEARCH(ZAKL_DATA!$B$29,N234)),MAX($M$2:M233)+1,0)</f>
        <v>232</v>
      </c>
      <c r="N234" s="325" t="s">
        <v>1877</v>
      </c>
      <c r="O234" s="340" t="s">
        <v>1878</v>
      </c>
      <c r="Q234" s="327" t="str">
        <f>IFERROR(VLOOKUP(ROWS($Q$3:Q234),$M$3:$N$992,2,0),"")</f>
        <v>Výroba lékařských a dentálních nástrojů a potřeb</v>
      </c>
      <c r="R234">
        <f>IF(ISNUMBER(SEARCH('1Př1'!$A$32,N234)),MAX($M$2:M233)+1,0)</f>
        <v>232</v>
      </c>
      <c r="S234" s="325" t="s">
        <v>1877</v>
      </c>
      <c r="T234" t="str">
        <f>IFERROR(VLOOKUP(ROWS($T$3:T234),$R$3:$S$992,2,0),"")</f>
        <v>Výroba lékařských a dentálních nástrojů a potřeb</v>
      </c>
      <c r="U234">
        <f>IF(ISNUMBER(SEARCH('1Př1'!$A$33,N234)),MAX($M$2:M233)+1,0)</f>
        <v>232</v>
      </c>
      <c r="V234" s="325" t="s">
        <v>1877</v>
      </c>
      <c r="W234" t="str">
        <f>IFERROR(VLOOKUP(ROWS($W$3:W234),$U$3:$V$992,2,0),"")</f>
        <v>Výroba lékařských a dentálních nástrojů a potřeb</v>
      </c>
      <c r="X234">
        <f>IF(ISNUMBER(SEARCH('1Př1'!$A$34,N234)),MAX($M$2:M233)+1,0)</f>
        <v>232</v>
      </c>
      <c r="Y234" s="325" t="s">
        <v>1877</v>
      </c>
      <c r="Z234" t="str">
        <f>IFERROR(VLOOKUP(ROWS($Z$3:Z234),$X$3:$Y$992,2,0),"")</f>
        <v>Výroba lékařských a dentálních nástrojů a potřeb</v>
      </c>
    </row>
    <row r="235" spans="10:26">
      <c r="J235" s="335" t="s">
        <v>1879</v>
      </c>
      <c r="K235" s="323" t="s">
        <v>1880</v>
      </c>
      <c r="M235" s="324">
        <f>IF(ISNUMBER(SEARCH(ZAKL_DATA!$B$29,N235)),MAX($M$2:M234)+1,0)</f>
        <v>233</v>
      </c>
      <c r="N235" s="325" t="s">
        <v>1881</v>
      </c>
      <c r="O235" s="340" t="s">
        <v>1882</v>
      </c>
      <c r="Q235" s="327" t="str">
        <f>IFERROR(VLOOKUP(ROWS($Q$3:Q235),$M$3:$N$992,2,0),"")</f>
        <v>Zpracovatelský průmysl j. n.</v>
      </c>
      <c r="R235">
        <f>IF(ISNUMBER(SEARCH('1Př1'!$A$32,N235)),MAX($M$2:M234)+1,0)</f>
        <v>233</v>
      </c>
      <c r="S235" s="325" t="s">
        <v>1881</v>
      </c>
      <c r="T235" t="str">
        <f>IFERROR(VLOOKUP(ROWS($T$3:T235),$R$3:$S$992,2,0),"")</f>
        <v>Zpracovatelský průmysl j. n.</v>
      </c>
      <c r="U235">
        <f>IF(ISNUMBER(SEARCH('1Př1'!$A$33,N235)),MAX($M$2:M234)+1,0)</f>
        <v>233</v>
      </c>
      <c r="V235" s="325" t="s">
        <v>1881</v>
      </c>
      <c r="W235" t="str">
        <f>IFERROR(VLOOKUP(ROWS($W$3:W235),$U$3:$V$992,2,0),"")</f>
        <v>Zpracovatelský průmysl j. n.</v>
      </c>
      <c r="X235">
        <f>IF(ISNUMBER(SEARCH('1Př1'!$A$34,N235)),MAX($M$2:M234)+1,0)</f>
        <v>233</v>
      </c>
      <c r="Y235" s="325" t="s">
        <v>1881</v>
      </c>
      <c r="Z235" t="str">
        <f>IFERROR(VLOOKUP(ROWS($Z$3:Z235),$X$3:$Y$992,2,0),"")</f>
        <v>Zpracovatelský průmysl j. n.</v>
      </c>
    </row>
    <row r="236" spans="10:26">
      <c r="J236" s="335" t="s">
        <v>1883</v>
      </c>
      <c r="K236" s="323" t="s">
        <v>1884</v>
      </c>
      <c r="M236" s="324">
        <f>IF(ISNUMBER(SEARCH(ZAKL_DATA!$B$29,N236)),MAX($M$2:M235)+1,0)</f>
        <v>234</v>
      </c>
      <c r="N236" s="325" t="s">
        <v>1885</v>
      </c>
      <c r="O236" s="340" t="s">
        <v>1886</v>
      </c>
      <c r="Q236" s="327" t="str">
        <f>IFERROR(VLOOKUP(ROWS($Q$3:Q236),$M$3:$N$992,2,0),"")</f>
        <v>Opravy kovodělných výrobků, strojů a zařízení</v>
      </c>
      <c r="R236">
        <f>IF(ISNUMBER(SEARCH('1Př1'!$A$32,N236)),MAX($M$2:M235)+1,0)</f>
        <v>234</v>
      </c>
      <c r="S236" s="325" t="s">
        <v>1885</v>
      </c>
      <c r="T236" t="str">
        <f>IFERROR(VLOOKUP(ROWS($T$3:T236),$R$3:$S$992,2,0),"")</f>
        <v>Opravy kovodělných výrobků, strojů a zařízení</v>
      </c>
      <c r="U236">
        <f>IF(ISNUMBER(SEARCH('1Př1'!$A$33,N236)),MAX($M$2:M235)+1,0)</f>
        <v>234</v>
      </c>
      <c r="V236" s="325" t="s">
        <v>1885</v>
      </c>
      <c r="W236" t="str">
        <f>IFERROR(VLOOKUP(ROWS($W$3:W236),$U$3:$V$992,2,0),"")</f>
        <v>Opravy kovodělných výrobků, strojů a zařízení</v>
      </c>
      <c r="X236">
        <f>IF(ISNUMBER(SEARCH('1Př1'!$A$34,N236)),MAX($M$2:M235)+1,0)</f>
        <v>234</v>
      </c>
      <c r="Y236" s="325" t="s">
        <v>1885</v>
      </c>
      <c r="Z236" t="str">
        <f>IFERROR(VLOOKUP(ROWS($Z$3:Z236),$X$3:$Y$992,2,0),"")</f>
        <v>Opravy kovodělných výrobků, strojů a zařízení</v>
      </c>
    </row>
    <row r="237" spans="10:26">
      <c r="J237" s="334" t="s">
        <v>1887</v>
      </c>
      <c r="K237" s="323" t="s">
        <v>1888</v>
      </c>
      <c r="M237" s="324">
        <f>IF(ISNUMBER(SEARCH(ZAKL_DATA!$B$29,N237)),MAX($M$2:M236)+1,0)</f>
        <v>235</v>
      </c>
      <c r="N237" s="325" t="s">
        <v>1889</v>
      </c>
      <c r="O237" s="340" t="s">
        <v>1890</v>
      </c>
      <c r="Q237" s="327" t="str">
        <f>IFERROR(VLOOKUP(ROWS($Q$3:Q237),$M$3:$N$992,2,0),"")</f>
        <v>Instalace průmyslových strojů a zařízení</v>
      </c>
      <c r="R237">
        <f>IF(ISNUMBER(SEARCH('1Př1'!$A$32,N237)),MAX($M$2:M236)+1,0)</f>
        <v>235</v>
      </c>
      <c r="S237" s="325" t="s">
        <v>1889</v>
      </c>
      <c r="T237" t="str">
        <f>IFERROR(VLOOKUP(ROWS($T$3:T237),$R$3:$S$992,2,0),"")</f>
        <v>Instalace průmyslových strojů a zařízení</v>
      </c>
      <c r="U237">
        <f>IF(ISNUMBER(SEARCH('1Př1'!$A$33,N237)),MAX($M$2:M236)+1,0)</f>
        <v>235</v>
      </c>
      <c r="V237" s="325" t="s">
        <v>1889</v>
      </c>
      <c r="W237" t="str">
        <f>IFERROR(VLOOKUP(ROWS($W$3:W237),$U$3:$V$992,2,0),"")</f>
        <v>Instalace průmyslových strojů a zařízení</v>
      </c>
      <c r="X237">
        <f>IF(ISNUMBER(SEARCH('1Př1'!$A$34,N237)),MAX($M$2:M236)+1,0)</f>
        <v>235</v>
      </c>
      <c r="Y237" s="325" t="s">
        <v>1889</v>
      </c>
      <c r="Z237" t="str">
        <f>IFERROR(VLOOKUP(ROWS($Z$3:Z237),$X$3:$Y$992,2,0),"")</f>
        <v>Instalace průmyslových strojů a zařízení</v>
      </c>
    </row>
    <row r="238" spans="10:26">
      <c r="J238" s="335" t="s">
        <v>1891</v>
      </c>
      <c r="K238" s="323" t="s">
        <v>1892</v>
      </c>
      <c r="M238" s="324">
        <f>IF(ISNUMBER(SEARCH(ZAKL_DATA!$B$29,N238)),MAX($M$2:M237)+1,0)</f>
        <v>236</v>
      </c>
      <c r="N238" s="325" t="s">
        <v>1893</v>
      </c>
      <c r="O238" s="340" t="s">
        <v>1894</v>
      </c>
      <c r="Q238" s="327" t="str">
        <f>IFERROR(VLOOKUP(ROWS($Q$3:Q238),$M$3:$N$992,2,0),"")</f>
        <v>Výroba, přenos a rozvod elektřiny</v>
      </c>
      <c r="R238">
        <f>IF(ISNUMBER(SEARCH('1Př1'!$A$32,N238)),MAX($M$2:M237)+1,0)</f>
        <v>236</v>
      </c>
      <c r="S238" s="325" t="s">
        <v>1893</v>
      </c>
      <c r="T238" t="str">
        <f>IFERROR(VLOOKUP(ROWS($T$3:T238),$R$3:$S$992,2,0),"")</f>
        <v>Výroba, přenos a rozvod elektřiny</v>
      </c>
      <c r="U238">
        <f>IF(ISNUMBER(SEARCH('1Př1'!$A$33,N238)),MAX($M$2:M237)+1,0)</f>
        <v>236</v>
      </c>
      <c r="V238" s="325" t="s">
        <v>1893</v>
      </c>
      <c r="W238" t="str">
        <f>IFERROR(VLOOKUP(ROWS($W$3:W238),$U$3:$V$992,2,0),"")</f>
        <v>Výroba, přenos a rozvod elektřiny</v>
      </c>
      <c r="X238">
        <f>IF(ISNUMBER(SEARCH('1Př1'!$A$34,N238)),MAX($M$2:M237)+1,0)</f>
        <v>236</v>
      </c>
      <c r="Y238" s="325" t="s">
        <v>1893</v>
      </c>
      <c r="Z238" t="str">
        <f>IFERROR(VLOOKUP(ROWS($Z$3:Z238),$X$3:$Y$992,2,0),"")</f>
        <v>Výroba, přenos a rozvod elektřiny</v>
      </c>
    </row>
    <row r="239" spans="10:26">
      <c r="J239" s="335" t="s">
        <v>1895</v>
      </c>
      <c r="K239" s="323" t="s">
        <v>1896</v>
      </c>
      <c r="M239" s="324">
        <f>IF(ISNUMBER(SEARCH(ZAKL_DATA!$B$29,N239)),MAX($M$2:M238)+1,0)</f>
        <v>237</v>
      </c>
      <c r="N239" s="325" t="s">
        <v>1897</v>
      </c>
      <c r="O239" s="340" t="s">
        <v>1898</v>
      </c>
      <c r="Q239" s="327" t="str">
        <f>IFERROR(VLOOKUP(ROWS($Q$3:Q239),$M$3:$N$992,2,0),"")</f>
        <v>Výroba plynu; rozvod plynných paliv prostřednictvím sítí</v>
      </c>
      <c r="R239">
        <f>IF(ISNUMBER(SEARCH('1Př1'!$A$32,N239)),MAX($M$2:M238)+1,0)</f>
        <v>237</v>
      </c>
      <c r="S239" s="325" t="s">
        <v>1897</v>
      </c>
      <c r="T239" t="str">
        <f>IFERROR(VLOOKUP(ROWS($T$3:T239),$R$3:$S$992,2,0),"")</f>
        <v>Výroba plynu; rozvod plynných paliv prostřednictvím sítí</v>
      </c>
      <c r="U239">
        <f>IF(ISNUMBER(SEARCH('1Př1'!$A$33,N239)),MAX($M$2:M238)+1,0)</f>
        <v>237</v>
      </c>
      <c r="V239" s="325" t="s">
        <v>1897</v>
      </c>
      <c r="W239" t="str">
        <f>IFERROR(VLOOKUP(ROWS($W$3:W239),$U$3:$V$992,2,0),"")</f>
        <v>Výroba plynu; rozvod plynných paliv prostřednictvím sítí</v>
      </c>
      <c r="X239">
        <f>IF(ISNUMBER(SEARCH('1Př1'!$A$34,N239)),MAX($M$2:M238)+1,0)</f>
        <v>237</v>
      </c>
      <c r="Y239" s="325" t="s">
        <v>1897</v>
      </c>
      <c r="Z239" t="str">
        <f>IFERROR(VLOOKUP(ROWS($Z$3:Z239),$X$3:$Y$992,2,0),"")</f>
        <v>Výroba plynu; rozvod plynných paliv prostřednictvím sítí</v>
      </c>
    </row>
    <row r="240" spans="10:26">
      <c r="J240" s="335" t="s">
        <v>1899</v>
      </c>
      <c r="K240" s="323" t="s">
        <v>1900</v>
      </c>
      <c r="M240" s="324">
        <f>IF(ISNUMBER(SEARCH(ZAKL_DATA!$B$29,N240)),MAX($M$2:M239)+1,0)</f>
        <v>238</v>
      </c>
      <c r="N240" s="325" t="s">
        <v>1901</v>
      </c>
      <c r="O240" s="340" t="s">
        <v>1902</v>
      </c>
      <c r="Q240" s="327" t="str">
        <f>IFERROR(VLOOKUP(ROWS($Q$3:Q240),$M$3:$N$992,2,0),"")</f>
        <v>Výroba a rozvod tepla a klimatizovaného vzduchu, výroba ledu</v>
      </c>
      <c r="R240">
        <f>IF(ISNUMBER(SEARCH('1Př1'!$A$32,N240)),MAX($M$2:M239)+1,0)</f>
        <v>238</v>
      </c>
      <c r="S240" s="325" t="s">
        <v>1901</v>
      </c>
      <c r="T240" t="str">
        <f>IFERROR(VLOOKUP(ROWS($T$3:T240),$R$3:$S$992,2,0),"")</f>
        <v>Výroba a rozvod tepla a klimatizovaného vzduchu, výroba ledu</v>
      </c>
      <c r="U240">
        <f>IF(ISNUMBER(SEARCH('1Př1'!$A$33,N240)),MAX($M$2:M239)+1,0)</f>
        <v>238</v>
      </c>
      <c r="V240" s="325" t="s">
        <v>1901</v>
      </c>
      <c r="W240" t="str">
        <f>IFERROR(VLOOKUP(ROWS($W$3:W240),$U$3:$V$992,2,0),"")</f>
        <v>Výroba a rozvod tepla a klimatizovaného vzduchu, výroba ledu</v>
      </c>
      <c r="X240">
        <f>IF(ISNUMBER(SEARCH('1Př1'!$A$34,N240)),MAX($M$2:M239)+1,0)</f>
        <v>238</v>
      </c>
      <c r="Y240" s="325" t="s">
        <v>1901</v>
      </c>
      <c r="Z240" t="str">
        <f>IFERROR(VLOOKUP(ROWS($Z$3:Z240),$X$3:$Y$992,2,0),"")</f>
        <v>Výroba a rozvod tepla a klimatizovaného vzduchu, výroba ledu</v>
      </c>
    </row>
    <row r="241" spans="10:26">
      <c r="J241" s="335" t="s">
        <v>1903</v>
      </c>
      <c r="K241" s="323" t="s">
        <v>1904</v>
      </c>
      <c r="M241" s="324">
        <f>IF(ISNUMBER(SEARCH(ZAKL_DATA!$B$29,N241)),MAX($M$2:M240)+1,0)</f>
        <v>239</v>
      </c>
      <c r="N241" s="325" t="s">
        <v>1905</v>
      </c>
      <c r="O241" s="340" t="s">
        <v>1906</v>
      </c>
      <c r="Q241" s="327" t="str">
        <f>IFERROR(VLOOKUP(ROWS($Q$3:Q241),$M$3:$N$992,2,0),"")</f>
        <v>Shromažďování a sběr odpadů</v>
      </c>
      <c r="R241">
        <f>IF(ISNUMBER(SEARCH('1Př1'!$A$32,N241)),MAX($M$2:M240)+1,0)</f>
        <v>239</v>
      </c>
      <c r="S241" s="325" t="s">
        <v>1905</v>
      </c>
      <c r="T241" t="str">
        <f>IFERROR(VLOOKUP(ROWS($T$3:T241),$R$3:$S$992,2,0),"")</f>
        <v>Shromažďování a sběr odpadů</v>
      </c>
      <c r="U241">
        <f>IF(ISNUMBER(SEARCH('1Př1'!$A$33,N241)),MAX($M$2:M240)+1,0)</f>
        <v>239</v>
      </c>
      <c r="V241" s="325" t="s">
        <v>1905</v>
      </c>
      <c r="W241" t="str">
        <f>IFERROR(VLOOKUP(ROWS($W$3:W241),$U$3:$V$992,2,0),"")</f>
        <v>Shromažďování a sběr odpadů</v>
      </c>
      <c r="X241">
        <f>IF(ISNUMBER(SEARCH('1Př1'!$A$34,N241)),MAX($M$2:M240)+1,0)</f>
        <v>239</v>
      </c>
      <c r="Y241" s="325" t="s">
        <v>1905</v>
      </c>
      <c r="Z241" t="str">
        <f>IFERROR(VLOOKUP(ROWS($Z$3:Z241),$X$3:$Y$992,2,0),"")</f>
        <v>Shromažďování a sběr odpadů</v>
      </c>
    </row>
    <row r="242" spans="10:26">
      <c r="J242" s="335" t="s">
        <v>1907</v>
      </c>
      <c r="K242" s="323" t="s">
        <v>1908</v>
      </c>
      <c r="M242" s="324">
        <f>IF(ISNUMBER(SEARCH(ZAKL_DATA!$B$29,N242)),MAX($M$2:M241)+1,0)</f>
        <v>240</v>
      </c>
      <c r="N242" s="325" t="s">
        <v>1909</v>
      </c>
      <c r="O242" s="340" t="s">
        <v>1910</v>
      </c>
      <c r="Q242" s="327" t="str">
        <f>IFERROR(VLOOKUP(ROWS($Q$3:Q242),$M$3:$N$992,2,0),"")</f>
        <v>Odstraňování odpadů</v>
      </c>
      <c r="R242">
        <f>IF(ISNUMBER(SEARCH('1Př1'!$A$32,N242)),MAX($M$2:M241)+1,0)</f>
        <v>240</v>
      </c>
      <c r="S242" s="325" t="s">
        <v>1909</v>
      </c>
      <c r="T242" t="str">
        <f>IFERROR(VLOOKUP(ROWS($T$3:T242),$R$3:$S$992,2,0),"")</f>
        <v>Odstraňování odpadů</v>
      </c>
      <c r="U242">
        <f>IF(ISNUMBER(SEARCH('1Př1'!$A$33,N242)),MAX($M$2:M241)+1,0)</f>
        <v>240</v>
      </c>
      <c r="V242" s="325" t="s">
        <v>1909</v>
      </c>
      <c r="W242" t="str">
        <f>IFERROR(VLOOKUP(ROWS($W$3:W242),$U$3:$V$992,2,0),"")</f>
        <v>Odstraňování odpadů</v>
      </c>
      <c r="X242">
        <f>IF(ISNUMBER(SEARCH('1Př1'!$A$34,N242)),MAX($M$2:M241)+1,0)</f>
        <v>240</v>
      </c>
      <c r="Y242" s="325" t="s">
        <v>1909</v>
      </c>
      <c r="Z242" t="str">
        <f>IFERROR(VLOOKUP(ROWS($Z$3:Z242),$X$3:$Y$992,2,0),"")</f>
        <v>Odstraňování odpadů</v>
      </c>
    </row>
    <row r="243" spans="10:26">
      <c r="J243" s="335" t="s">
        <v>1911</v>
      </c>
      <c r="K243" s="323" t="s">
        <v>1912</v>
      </c>
      <c r="M243" s="324">
        <f>IF(ISNUMBER(SEARCH(ZAKL_DATA!$B$29,N243)),MAX($M$2:M242)+1,0)</f>
        <v>241</v>
      </c>
      <c r="N243" s="325" t="s">
        <v>1913</v>
      </c>
      <c r="O243" s="340" t="s">
        <v>1914</v>
      </c>
      <c r="Q243" s="327" t="str">
        <f>IFERROR(VLOOKUP(ROWS($Q$3:Q243),$M$3:$N$992,2,0),"")</f>
        <v>Úprava odpadů k dalšímu využití</v>
      </c>
      <c r="R243">
        <f>IF(ISNUMBER(SEARCH('1Př1'!$A$32,N243)),MAX($M$2:M242)+1,0)</f>
        <v>241</v>
      </c>
      <c r="S243" s="325" t="s">
        <v>1913</v>
      </c>
      <c r="T243" t="str">
        <f>IFERROR(VLOOKUP(ROWS($T$3:T243),$R$3:$S$992,2,0),"")</f>
        <v>Úprava odpadů k dalšímu využití</v>
      </c>
      <c r="U243">
        <f>IF(ISNUMBER(SEARCH('1Př1'!$A$33,N243)),MAX($M$2:M242)+1,0)</f>
        <v>241</v>
      </c>
      <c r="V243" s="325" t="s">
        <v>1913</v>
      </c>
      <c r="W243" t="str">
        <f>IFERROR(VLOOKUP(ROWS($W$3:W243),$U$3:$V$992,2,0),"")</f>
        <v>Úprava odpadů k dalšímu využití</v>
      </c>
      <c r="X243">
        <f>IF(ISNUMBER(SEARCH('1Př1'!$A$34,N243)),MAX($M$2:M242)+1,0)</f>
        <v>241</v>
      </c>
      <c r="Y243" s="325" t="s">
        <v>1913</v>
      </c>
      <c r="Z243" t="str">
        <f>IFERROR(VLOOKUP(ROWS($Z$3:Z243),$X$3:$Y$992,2,0),"")</f>
        <v>Úprava odpadů k dalšímu využití</v>
      </c>
    </row>
    <row r="244" spans="10:26">
      <c r="J244" s="335" t="s">
        <v>1915</v>
      </c>
      <c r="K244" s="323" t="s">
        <v>1916</v>
      </c>
      <c r="M244" s="324">
        <f>IF(ISNUMBER(SEARCH(ZAKL_DATA!$B$29,N244)),MAX($M$2:M243)+1,0)</f>
        <v>242</v>
      </c>
      <c r="N244" s="325" t="s">
        <v>1917</v>
      </c>
      <c r="O244" s="340" t="s">
        <v>1918</v>
      </c>
      <c r="Q244" s="327" t="str">
        <f>IFERROR(VLOOKUP(ROWS($Q$3:Q244),$M$3:$N$992,2,0),"")</f>
        <v>Developerská činnost</v>
      </c>
      <c r="R244">
        <f>IF(ISNUMBER(SEARCH('1Př1'!$A$32,N244)),MAX($M$2:M243)+1,0)</f>
        <v>242</v>
      </c>
      <c r="S244" s="325" t="s">
        <v>1917</v>
      </c>
      <c r="T244" t="str">
        <f>IFERROR(VLOOKUP(ROWS($T$3:T244),$R$3:$S$992,2,0),"")</f>
        <v>Developerská činnost</v>
      </c>
      <c r="U244">
        <f>IF(ISNUMBER(SEARCH('1Př1'!$A$33,N244)),MAX($M$2:M243)+1,0)</f>
        <v>242</v>
      </c>
      <c r="V244" s="325" t="s">
        <v>1917</v>
      </c>
      <c r="W244" t="str">
        <f>IFERROR(VLOOKUP(ROWS($W$3:W244),$U$3:$V$992,2,0),"")</f>
        <v>Developerská činnost</v>
      </c>
      <c r="X244">
        <f>IF(ISNUMBER(SEARCH('1Př1'!$A$34,N244)),MAX($M$2:M243)+1,0)</f>
        <v>242</v>
      </c>
      <c r="Y244" s="325" t="s">
        <v>1917</v>
      </c>
      <c r="Z244" t="str">
        <f>IFERROR(VLOOKUP(ROWS($Z$3:Z244),$X$3:$Y$992,2,0),"")</f>
        <v>Developerská činnost</v>
      </c>
    </row>
    <row r="245" spans="10:26">
      <c r="J245" s="335" t="s">
        <v>1919</v>
      </c>
      <c r="K245" s="323" t="s">
        <v>1920</v>
      </c>
      <c r="M245" s="324">
        <f>IF(ISNUMBER(SEARCH(ZAKL_DATA!$B$29,N245)),MAX($M$2:M244)+1,0)</f>
        <v>243</v>
      </c>
      <c r="N245" s="325" t="s">
        <v>1921</v>
      </c>
      <c r="O245" s="340" t="s">
        <v>1922</v>
      </c>
      <c r="Q245" s="327" t="str">
        <f>IFERROR(VLOOKUP(ROWS($Q$3:Q245),$M$3:$N$992,2,0),"")</f>
        <v>Výstavba bytových a nebytových budov</v>
      </c>
      <c r="R245">
        <f>IF(ISNUMBER(SEARCH('1Př1'!$A$32,N245)),MAX($M$2:M244)+1,0)</f>
        <v>243</v>
      </c>
      <c r="S245" s="325" t="s">
        <v>1921</v>
      </c>
      <c r="T245" t="str">
        <f>IFERROR(VLOOKUP(ROWS($T$3:T245),$R$3:$S$992,2,0),"")</f>
        <v>Výstavba bytových a nebytových budov</v>
      </c>
      <c r="U245">
        <f>IF(ISNUMBER(SEARCH('1Př1'!$A$33,N245)),MAX($M$2:M244)+1,0)</f>
        <v>243</v>
      </c>
      <c r="V245" s="325" t="s">
        <v>1921</v>
      </c>
      <c r="W245" t="str">
        <f>IFERROR(VLOOKUP(ROWS($W$3:W245),$U$3:$V$992,2,0),"")</f>
        <v>Výstavba bytových a nebytových budov</v>
      </c>
      <c r="X245">
        <f>IF(ISNUMBER(SEARCH('1Př1'!$A$34,N245)),MAX($M$2:M244)+1,0)</f>
        <v>243</v>
      </c>
      <c r="Y245" s="325" t="s">
        <v>1921</v>
      </c>
      <c r="Z245" t="str">
        <f>IFERROR(VLOOKUP(ROWS($Z$3:Z245),$X$3:$Y$992,2,0),"")</f>
        <v>Výstavba bytových a nebytových budov</v>
      </c>
    </row>
    <row r="246" spans="10:26">
      <c r="J246" s="335" t="s">
        <v>1923</v>
      </c>
      <c r="K246" s="323" t="s">
        <v>1924</v>
      </c>
      <c r="M246" s="324">
        <f>IF(ISNUMBER(SEARCH(ZAKL_DATA!$B$29,N246)),MAX($M$2:M245)+1,0)</f>
        <v>244</v>
      </c>
      <c r="N246" s="325" t="s">
        <v>1925</v>
      </c>
      <c r="O246" s="340" t="s">
        <v>1926</v>
      </c>
      <c r="Q246" s="327" t="str">
        <f>IFERROR(VLOOKUP(ROWS($Q$3:Q246),$M$3:$N$992,2,0),"")</f>
        <v>Výstavba silnic a železnic</v>
      </c>
      <c r="R246">
        <f>IF(ISNUMBER(SEARCH('1Př1'!$A$32,N246)),MAX($M$2:M245)+1,0)</f>
        <v>244</v>
      </c>
      <c r="S246" s="325" t="s">
        <v>1925</v>
      </c>
      <c r="T246" t="str">
        <f>IFERROR(VLOOKUP(ROWS($T$3:T246),$R$3:$S$992,2,0),"")</f>
        <v>Výstavba silnic a železnic</v>
      </c>
      <c r="U246">
        <f>IF(ISNUMBER(SEARCH('1Př1'!$A$33,N246)),MAX($M$2:M245)+1,0)</f>
        <v>244</v>
      </c>
      <c r="V246" s="325" t="s">
        <v>1925</v>
      </c>
      <c r="W246" t="str">
        <f>IFERROR(VLOOKUP(ROWS($W$3:W246),$U$3:$V$992,2,0),"")</f>
        <v>Výstavba silnic a železnic</v>
      </c>
      <c r="X246">
        <f>IF(ISNUMBER(SEARCH('1Př1'!$A$34,N246)),MAX($M$2:M245)+1,0)</f>
        <v>244</v>
      </c>
      <c r="Y246" s="325" t="s">
        <v>1925</v>
      </c>
      <c r="Z246" t="str">
        <f>IFERROR(VLOOKUP(ROWS($Z$3:Z246),$X$3:$Y$992,2,0),"")</f>
        <v>Výstavba silnic a železnic</v>
      </c>
    </row>
    <row r="247" spans="10:26">
      <c r="J247" s="335" t="s">
        <v>1927</v>
      </c>
      <c r="K247" s="323" t="s">
        <v>1928</v>
      </c>
      <c r="M247" s="324">
        <f>IF(ISNUMBER(SEARCH(ZAKL_DATA!$B$29,N247)),MAX($M$2:M246)+1,0)</f>
        <v>245</v>
      </c>
      <c r="N247" s="325" t="s">
        <v>1929</v>
      </c>
      <c r="O247" s="340" t="s">
        <v>1930</v>
      </c>
      <c r="Q247" s="327" t="str">
        <f>IFERROR(VLOOKUP(ROWS($Q$3:Q247),$M$3:$N$992,2,0),"")</f>
        <v>Výstavba inženýrských sítí</v>
      </c>
      <c r="R247">
        <f>IF(ISNUMBER(SEARCH('1Př1'!$A$32,N247)),MAX($M$2:M246)+1,0)</f>
        <v>245</v>
      </c>
      <c r="S247" s="325" t="s">
        <v>1929</v>
      </c>
      <c r="T247" t="str">
        <f>IFERROR(VLOOKUP(ROWS($T$3:T247),$R$3:$S$992,2,0),"")</f>
        <v>Výstavba inženýrských sítí</v>
      </c>
      <c r="U247">
        <f>IF(ISNUMBER(SEARCH('1Př1'!$A$33,N247)),MAX($M$2:M246)+1,0)</f>
        <v>245</v>
      </c>
      <c r="V247" s="325" t="s">
        <v>1929</v>
      </c>
      <c r="W247" t="str">
        <f>IFERROR(VLOOKUP(ROWS($W$3:W247),$U$3:$V$992,2,0),"")</f>
        <v>Výstavba inženýrských sítí</v>
      </c>
      <c r="X247">
        <f>IF(ISNUMBER(SEARCH('1Př1'!$A$34,N247)),MAX($M$2:M246)+1,0)</f>
        <v>245</v>
      </c>
      <c r="Y247" s="325" t="s">
        <v>1929</v>
      </c>
      <c r="Z247" t="str">
        <f>IFERROR(VLOOKUP(ROWS($Z$3:Z247),$X$3:$Y$992,2,0),"")</f>
        <v>Výstavba inženýrských sítí</v>
      </c>
    </row>
    <row r="248" spans="10:26">
      <c r="J248" s="335" t="s">
        <v>1931</v>
      </c>
      <c r="K248" s="323" t="s">
        <v>1932</v>
      </c>
      <c r="M248" s="324">
        <f>IF(ISNUMBER(SEARCH(ZAKL_DATA!$B$29,N248)),MAX($M$2:M247)+1,0)</f>
        <v>246</v>
      </c>
      <c r="N248" s="325" t="s">
        <v>1933</v>
      </c>
      <c r="O248" s="340" t="s">
        <v>1934</v>
      </c>
      <c r="Q248" s="327" t="str">
        <f>IFERROR(VLOOKUP(ROWS($Q$3:Q248),$M$3:$N$992,2,0),"")</f>
        <v>Výstavba ostatních staveb</v>
      </c>
      <c r="R248">
        <f>IF(ISNUMBER(SEARCH('1Př1'!$A$32,N248)),MAX($M$2:M247)+1,0)</f>
        <v>246</v>
      </c>
      <c r="S248" s="325" t="s">
        <v>1933</v>
      </c>
      <c r="T248" t="str">
        <f>IFERROR(VLOOKUP(ROWS($T$3:T248),$R$3:$S$992,2,0),"")</f>
        <v>Výstavba ostatních staveb</v>
      </c>
      <c r="U248">
        <f>IF(ISNUMBER(SEARCH('1Př1'!$A$33,N248)),MAX($M$2:M247)+1,0)</f>
        <v>246</v>
      </c>
      <c r="V248" s="325" t="s">
        <v>1933</v>
      </c>
      <c r="W248" t="str">
        <f>IFERROR(VLOOKUP(ROWS($W$3:W248),$U$3:$V$992,2,0),"")</f>
        <v>Výstavba ostatních staveb</v>
      </c>
      <c r="X248">
        <f>IF(ISNUMBER(SEARCH('1Př1'!$A$34,N248)),MAX($M$2:M247)+1,0)</f>
        <v>246</v>
      </c>
      <c r="Y248" s="325" t="s">
        <v>1933</v>
      </c>
      <c r="Z248" t="str">
        <f>IFERROR(VLOOKUP(ROWS($Z$3:Z248),$X$3:$Y$992,2,0),"")</f>
        <v>Výstavba ostatních staveb</v>
      </c>
    </row>
    <row r="249" spans="10:26">
      <c r="J249" s="335" t="s">
        <v>1935</v>
      </c>
      <c r="K249" s="323" t="s">
        <v>1936</v>
      </c>
      <c r="M249" s="324">
        <f>IF(ISNUMBER(SEARCH(ZAKL_DATA!$B$29,N249)),MAX($M$2:M248)+1,0)</f>
        <v>247</v>
      </c>
      <c r="N249" s="325" t="s">
        <v>1937</v>
      </c>
      <c r="O249" s="340" t="s">
        <v>1938</v>
      </c>
      <c r="Q249" s="327" t="str">
        <f>IFERROR(VLOOKUP(ROWS($Q$3:Q249),$M$3:$N$992,2,0),"")</f>
        <v>Demolice a příprava staveniště</v>
      </c>
      <c r="R249">
        <f>IF(ISNUMBER(SEARCH('1Př1'!$A$32,N249)),MAX($M$2:M248)+1,0)</f>
        <v>247</v>
      </c>
      <c r="S249" s="325" t="s">
        <v>1937</v>
      </c>
      <c r="T249" t="str">
        <f>IFERROR(VLOOKUP(ROWS($T$3:T249),$R$3:$S$992,2,0),"")</f>
        <v>Demolice a příprava staveniště</v>
      </c>
      <c r="U249">
        <f>IF(ISNUMBER(SEARCH('1Př1'!$A$33,N249)),MAX($M$2:M248)+1,0)</f>
        <v>247</v>
      </c>
      <c r="V249" s="325" t="s">
        <v>1937</v>
      </c>
      <c r="W249" t="str">
        <f>IFERROR(VLOOKUP(ROWS($W$3:W249),$U$3:$V$992,2,0),"")</f>
        <v>Demolice a příprava staveniště</v>
      </c>
      <c r="X249">
        <f>IF(ISNUMBER(SEARCH('1Př1'!$A$34,N249)),MAX($M$2:M248)+1,0)</f>
        <v>247</v>
      </c>
      <c r="Y249" s="325" t="s">
        <v>1937</v>
      </c>
      <c r="Z249" t="str">
        <f>IFERROR(VLOOKUP(ROWS($Z$3:Z249),$X$3:$Y$992,2,0),"")</f>
        <v>Demolice a příprava staveniště</v>
      </c>
    </row>
    <row r="250" spans="10:26">
      <c r="J250" s="335" t="s">
        <v>1939</v>
      </c>
      <c r="K250" s="323" t="s">
        <v>1940</v>
      </c>
      <c r="M250" s="324">
        <f>IF(ISNUMBER(SEARCH(ZAKL_DATA!$B$29,N250)),MAX($M$2:M249)+1,0)</f>
        <v>248</v>
      </c>
      <c r="N250" s="325" t="s">
        <v>1941</v>
      </c>
      <c r="O250" s="340" t="s">
        <v>1942</v>
      </c>
      <c r="Q250" s="327" t="str">
        <f>IFERROR(VLOOKUP(ROWS($Q$3:Q250),$M$3:$N$992,2,0),"")</f>
        <v>Elektroinstalační, instalatérské a ostatní stavebně instalační práce</v>
      </c>
      <c r="R250">
        <f>IF(ISNUMBER(SEARCH('1Př1'!$A$32,N250)),MAX($M$2:M249)+1,0)</f>
        <v>248</v>
      </c>
      <c r="S250" s="325" t="s">
        <v>1941</v>
      </c>
      <c r="T250" t="str">
        <f>IFERROR(VLOOKUP(ROWS($T$3:T250),$R$3:$S$992,2,0),"")</f>
        <v>Elektroinstalační, instalatérské a ostatní stavebně instalační práce</v>
      </c>
      <c r="U250">
        <f>IF(ISNUMBER(SEARCH('1Př1'!$A$33,N250)),MAX($M$2:M249)+1,0)</f>
        <v>248</v>
      </c>
      <c r="V250" s="325" t="s">
        <v>1941</v>
      </c>
      <c r="W250" t="str">
        <f>IFERROR(VLOOKUP(ROWS($W$3:W250),$U$3:$V$992,2,0),"")</f>
        <v>Elektroinstalační, instalatérské a ostatní stavebně instalační práce</v>
      </c>
      <c r="X250">
        <f>IF(ISNUMBER(SEARCH('1Př1'!$A$34,N250)),MAX($M$2:M249)+1,0)</f>
        <v>248</v>
      </c>
      <c r="Y250" s="325" t="s">
        <v>1941</v>
      </c>
      <c r="Z250" t="str">
        <f>IFERROR(VLOOKUP(ROWS($Z$3:Z250),$X$3:$Y$992,2,0),"")</f>
        <v>Elektroinstalační, instalatérské a ostatní stavebně instalační práce</v>
      </c>
    </row>
    <row r="251" spans="10:26">
      <c r="J251" s="335" t="s">
        <v>1943</v>
      </c>
      <c r="K251" s="323" t="s">
        <v>1944</v>
      </c>
      <c r="M251" s="324">
        <f>IF(ISNUMBER(SEARCH(ZAKL_DATA!$B$29,N251)),MAX($M$2:M250)+1,0)</f>
        <v>249</v>
      </c>
      <c r="N251" s="325" t="s">
        <v>1945</v>
      </c>
      <c r="O251" s="340" t="s">
        <v>1946</v>
      </c>
      <c r="Q251" s="327" t="str">
        <f>IFERROR(VLOOKUP(ROWS($Q$3:Q251),$M$3:$N$992,2,0),"")</f>
        <v>Kompletační a dokončovací práce</v>
      </c>
      <c r="R251">
        <f>IF(ISNUMBER(SEARCH('1Př1'!$A$32,N251)),MAX($M$2:M250)+1,0)</f>
        <v>249</v>
      </c>
      <c r="S251" s="325" t="s">
        <v>1945</v>
      </c>
      <c r="T251" t="str">
        <f>IFERROR(VLOOKUP(ROWS($T$3:T251),$R$3:$S$992,2,0),"")</f>
        <v>Kompletační a dokončovací práce</v>
      </c>
      <c r="U251">
        <f>IF(ISNUMBER(SEARCH('1Př1'!$A$33,N251)),MAX($M$2:M250)+1,0)</f>
        <v>249</v>
      </c>
      <c r="V251" s="325" t="s">
        <v>1945</v>
      </c>
      <c r="W251" t="str">
        <f>IFERROR(VLOOKUP(ROWS($W$3:W251),$U$3:$V$992,2,0),"")</f>
        <v>Kompletační a dokončovací práce</v>
      </c>
      <c r="X251">
        <f>IF(ISNUMBER(SEARCH('1Př1'!$A$34,N251)),MAX($M$2:M250)+1,0)</f>
        <v>249</v>
      </c>
      <c r="Y251" s="325" t="s">
        <v>1945</v>
      </c>
      <c r="Z251" t="str">
        <f>IFERROR(VLOOKUP(ROWS($Z$3:Z251),$X$3:$Y$992,2,0),"")</f>
        <v>Kompletační a dokončovací práce</v>
      </c>
    </row>
    <row r="252" spans="10:26">
      <c r="J252" s="335" t="s">
        <v>1947</v>
      </c>
      <c r="K252" s="323" t="s">
        <v>1948</v>
      </c>
      <c r="M252" s="324">
        <f>IF(ISNUMBER(SEARCH(ZAKL_DATA!$B$29,N252)),MAX($M$2:M251)+1,0)</f>
        <v>250</v>
      </c>
      <c r="N252" s="325" t="s">
        <v>1949</v>
      </c>
      <c r="O252" s="340" t="s">
        <v>1950</v>
      </c>
      <c r="Q252" s="327" t="str">
        <f>IFERROR(VLOOKUP(ROWS($Q$3:Q252),$M$3:$N$992,2,0),"")</f>
        <v>Ostatní specializované stavební činnosti</v>
      </c>
      <c r="R252">
        <f>IF(ISNUMBER(SEARCH('1Př1'!$A$32,N252)),MAX($M$2:M251)+1,0)</f>
        <v>250</v>
      </c>
      <c r="S252" s="325" t="s">
        <v>1949</v>
      </c>
      <c r="T252" t="str">
        <f>IFERROR(VLOOKUP(ROWS($T$3:T252),$R$3:$S$992,2,0),"")</f>
        <v>Ostatní specializované stavební činnosti</v>
      </c>
      <c r="U252">
        <f>IF(ISNUMBER(SEARCH('1Př1'!$A$33,N252)),MAX($M$2:M251)+1,0)</f>
        <v>250</v>
      </c>
      <c r="V252" s="325" t="s">
        <v>1949</v>
      </c>
      <c r="W252" t="str">
        <f>IFERROR(VLOOKUP(ROWS($W$3:W252),$U$3:$V$992,2,0),"")</f>
        <v>Ostatní specializované stavební činnosti</v>
      </c>
      <c r="X252">
        <f>IF(ISNUMBER(SEARCH('1Př1'!$A$34,N252)),MAX($M$2:M251)+1,0)</f>
        <v>250</v>
      </c>
      <c r="Y252" s="325" t="s">
        <v>1949</v>
      </c>
      <c r="Z252" t="str">
        <f>IFERROR(VLOOKUP(ROWS($Z$3:Z252),$X$3:$Y$992,2,0),"")</f>
        <v>Ostatní specializované stavební činnosti</v>
      </c>
    </row>
    <row r="253" spans="10:26" ht="13.5" thickBot="1">
      <c r="J253" s="347" t="s">
        <v>1951</v>
      </c>
      <c r="K253" s="323" t="s">
        <v>1952</v>
      </c>
      <c r="M253" s="324">
        <f>IF(ISNUMBER(SEARCH(ZAKL_DATA!$B$29,N253)),MAX($M$2:M252)+1,0)</f>
        <v>251</v>
      </c>
      <c r="N253" s="325" t="s">
        <v>1953</v>
      </c>
      <c r="O253" s="340" t="s">
        <v>1954</v>
      </c>
      <c r="Q253" s="327" t="str">
        <f>IFERROR(VLOOKUP(ROWS($Q$3:Q253),$M$3:$N$992,2,0),"")</f>
        <v>Obchod s motorovými vozidly, kromě motocyklů</v>
      </c>
      <c r="R253">
        <f>IF(ISNUMBER(SEARCH('1Př1'!$A$32,N253)),MAX($M$2:M252)+1,0)</f>
        <v>251</v>
      </c>
      <c r="S253" s="325" t="s">
        <v>1953</v>
      </c>
      <c r="T253" t="str">
        <f>IFERROR(VLOOKUP(ROWS($T$3:T253),$R$3:$S$992,2,0),"")</f>
        <v>Obchod s motorovými vozidly, kromě motocyklů</v>
      </c>
      <c r="U253">
        <f>IF(ISNUMBER(SEARCH('1Př1'!$A$33,N253)),MAX($M$2:M252)+1,0)</f>
        <v>251</v>
      </c>
      <c r="V253" s="325" t="s">
        <v>1953</v>
      </c>
      <c r="W253" t="str">
        <f>IFERROR(VLOOKUP(ROWS($W$3:W253),$U$3:$V$992,2,0),"")</f>
        <v>Obchod s motorovými vozidly, kromě motocyklů</v>
      </c>
      <c r="X253">
        <f>IF(ISNUMBER(SEARCH('1Př1'!$A$34,N253)),MAX($M$2:M252)+1,0)</f>
        <v>251</v>
      </c>
      <c r="Y253" s="325" t="s">
        <v>1953</v>
      </c>
      <c r="Z253" t="str">
        <f>IFERROR(VLOOKUP(ROWS($Z$3:Z253),$X$3:$Y$992,2,0),"")</f>
        <v>Obchod s motorovými vozidly, kromě motocyklů</v>
      </c>
    </row>
    <row r="254" spans="10:26">
      <c r="M254" s="324">
        <f>IF(ISNUMBER(SEARCH(ZAKL_DATA!$B$29,N254)),MAX($M$2:M253)+1,0)</f>
        <v>252</v>
      </c>
      <c r="N254" s="325" t="s">
        <v>1955</v>
      </c>
      <c r="O254" s="340" t="s">
        <v>1956</v>
      </c>
      <c r="Q254" s="327" t="str">
        <f>IFERROR(VLOOKUP(ROWS($Q$3:Q254),$M$3:$N$992,2,0),"")</f>
        <v>Opravy a údržba motorových vozidel, kromě motocyklů</v>
      </c>
      <c r="R254">
        <f>IF(ISNUMBER(SEARCH('1Př1'!$A$32,N254)),MAX($M$2:M253)+1,0)</f>
        <v>252</v>
      </c>
      <c r="S254" s="325" t="s">
        <v>1955</v>
      </c>
      <c r="T254" t="str">
        <f>IFERROR(VLOOKUP(ROWS($T$3:T254),$R$3:$S$992,2,0),"")</f>
        <v>Opravy a údržba motorových vozidel, kromě motocyklů</v>
      </c>
      <c r="U254">
        <f>IF(ISNUMBER(SEARCH('1Př1'!$A$33,N254)),MAX($M$2:M253)+1,0)</f>
        <v>252</v>
      </c>
      <c r="V254" s="325" t="s">
        <v>1955</v>
      </c>
      <c r="W254" t="str">
        <f>IFERROR(VLOOKUP(ROWS($W$3:W254),$U$3:$V$992,2,0),"")</f>
        <v>Opravy a údržba motorových vozidel, kromě motocyklů</v>
      </c>
      <c r="X254">
        <f>IF(ISNUMBER(SEARCH('1Př1'!$A$34,N254)),MAX($M$2:M253)+1,0)</f>
        <v>252</v>
      </c>
      <c r="Y254" s="325" t="s">
        <v>1955</v>
      </c>
      <c r="Z254" t="str">
        <f>IFERROR(VLOOKUP(ROWS($Z$3:Z254),$X$3:$Y$992,2,0),"")</f>
        <v>Opravy a údržba motorových vozidel, kromě motocyklů</v>
      </c>
    </row>
    <row r="255" spans="10:26">
      <c r="M255" s="324">
        <f>IF(ISNUMBER(SEARCH(ZAKL_DATA!$B$29,N255)),MAX($M$2:M254)+1,0)</f>
        <v>253</v>
      </c>
      <c r="N255" s="325" t="s">
        <v>1957</v>
      </c>
      <c r="O255" s="340" t="s">
        <v>1958</v>
      </c>
      <c r="Q255" s="327" t="str">
        <f>IFERROR(VLOOKUP(ROWS($Q$3:Q255),$M$3:$N$992,2,0),"")</f>
        <v>Obchod s díly a příslušenstvím pro motorová vozidla, kromě motocyklů</v>
      </c>
      <c r="R255">
        <f>IF(ISNUMBER(SEARCH('1Př1'!$A$32,N255)),MAX($M$2:M254)+1,0)</f>
        <v>253</v>
      </c>
      <c r="S255" s="325" t="s">
        <v>1957</v>
      </c>
      <c r="T255" t="str">
        <f>IFERROR(VLOOKUP(ROWS($T$3:T255),$R$3:$S$992,2,0),"")</f>
        <v>Obchod s díly a příslušenstvím pro motorová vozidla, kromě motocyklů</v>
      </c>
      <c r="U255">
        <f>IF(ISNUMBER(SEARCH('1Př1'!$A$33,N255)),MAX($M$2:M254)+1,0)</f>
        <v>253</v>
      </c>
      <c r="V255" s="325" t="s">
        <v>1957</v>
      </c>
      <c r="W255" t="str">
        <f>IFERROR(VLOOKUP(ROWS($W$3:W255),$U$3:$V$992,2,0),"")</f>
        <v>Obchod s díly a příslušenstvím pro motorová vozidla, kromě motocyklů</v>
      </c>
      <c r="X255">
        <f>IF(ISNUMBER(SEARCH('1Př1'!$A$34,N255)),MAX($M$2:M254)+1,0)</f>
        <v>253</v>
      </c>
      <c r="Y255" s="325" t="s">
        <v>1957</v>
      </c>
      <c r="Z255" t="str">
        <f>IFERROR(VLOOKUP(ROWS($Z$3:Z255),$X$3:$Y$992,2,0),"")</f>
        <v>Obchod s díly a příslušenstvím pro motorová vozidla, kromě motocyklů</v>
      </c>
    </row>
    <row r="256" spans="10:26">
      <c r="M256" s="324">
        <f>IF(ISNUMBER(SEARCH(ZAKL_DATA!$B$29,N256)),MAX($M$2:M255)+1,0)</f>
        <v>254</v>
      </c>
      <c r="N256" s="325" t="s">
        <v>1959</v>
      </c>
      <c r="O256" s="340" t="s">
        <v>1960</v>
      </c>
      <c r="Q256" s="327" t="str">
        <f>IFERROR(VLOOKUP(ROWS($Q$3:Q256),$M$3:$N$992,2,0),"")</f>
        <v>Obchod, opravy a údržba motocyklů, jejich dílů a příslušenství</v>
      </c>
      <c r="R256">
        <f>IF(ISNUMBER(SEARCH('1Př1'!$A$32,N256)),MAX($M$2:M255)+1,0)</f>
        <v>254</v>
      </c>
      <c r="S256" s="325" t="s">
        <v>1959</v>
      </c>
      <c r="T256" t="str">
        <f>IFERROR(VLOOKUP(ROWS($T$3:T256),$R$3:$S$992,2,0),"")</f>
        <v>Obchod, opravy a údržba motocyklů, jejich dílů a příslušenství</v>
      </c>
      <c r="U256">
        <f>IF(ISNUMBER(SEARCH('1Př1'!$A$33,N256)),MAX($M$2:M255)+1,0)</f>
        <v>254</v>
      </c>
      <c r="V256" s="325" t="s">
        <v>1959</v>
      </c>
      <c r="W256" t="str">
        <f>IFERROR(VLOOKUP(ROWS($W$3:W256),$U$3:$V$992,2,0),"")</f>
        <v>Obchod, opravy a údržba motocyklů, jejich dílů a příslušenství</v>
      </c>
      <c r="X256">
        <f>IF(ISNUMBER(SEARCH('1Př1'!$A$34,N256)),MAX($M$2:M255)+1,0)</f>
        <v>254</v>
      </c>
      <c r="Y256" s="325" t="s">
        <v>1959</v>
      </c>
      <c r="Z256" t="str">
        <f>IFERROR(VLOOKUP(ROWS($Z$3:Z256),$X$3:$Y$992,2,0),"")</f>
        <v>Obchod, opravy a údržba motocyklů, jejich dílů a příslušenství</v>
      </c>
    </row>
    <row r="257" spans="13:26">
      <c r="M257" s="324">
        <f>IF(ISNUMBER(SEARCH(ZAKL_DATA!$B$29,N257)),MAX($M$2:M256)+1,0)</f>
        <v>255</v>
      </c>
      <c r="N257" s="325" t="s">
        <v>1961</v>
      </c>
      <c r="O257" s="340" t="s">
        <v>1962</v>
      </c>
      <c r="Q257" s="327" t="str">
        <f>IFERROR(VLOOKUP(ROWS($Q$3:Q257),$M$3:$N$992,2,0),"")</f>
        <v>Zprostředkování velkoobchodu a velkoobchod v zastoupení</v>
      </c>
      <c r="R257">
        <f>IF(ISNUMBER(SEARCH('1Př1'!$A$32,N257)),MAX($M$2:M256)+1,0)</f>
        <v>255</v>
      </c>
      <c r="S257" s="325" t="s">
        <v>1961</v>
      </c>
      <c r="T257" t="str">
        <f>IFERROR(VLOOKUP(ROWS($T$3:T257),$R$3:$S$992,2,0),"")</f>
        <v>Zprostředkování velkoobchodu a velkoobchod v zastoupení</v>
      </c>
      <c r="U257">
        <f>IF(ISNUMBER(SEARCH('1Př1'!$A$33,N257)),MAX($M$2:M256)+1,0)</f>
        <v>255</v>
      </c>
      <c r="V257" s="325" t="s">
        <v>1961</v>
      </c>
      <c r="W257" t="str">
        <f>IFERROR(VLOOKUP(ROWS($W$3:W257),$U$3:$V$992,2,0),"")</f>
        <v>Zprostředkování velkoobchodu a velkoobchod v zastoupení</v>
      </c>
      <c r="X257">
        <f>IF(ISNUMBER(SEARCH('1Př1'!$A$34,N257)),MAX($M$2:M256)+1,0)</f>
        <v>255</v>
      </c>
      <c r="Y257" s="325" t="s">
        <v>1961</v>
      </c>
      <c r="Z257" t="str">
        <f>IFERROR(VLOOKUP(ROWS($Z$3:Z257),$X$3:$Y$992,2,0),"")</f>
        <v>Zprostředkování velkoobchodu a velkoobchod v zastoupení</v>
      </c>
    </row>
    <row r="258" spans="13:26">
      <c r="M258" s="324">
        <f>IF(ISNUMBER(SEARCH(ZAKL_DATA!$B$29,N258)),MAX($M$2:M257)+1,0)</f>
        <v>256</v>
      </c>
      <c r="N258" s="325" t="s">
        <v>1963</v>
      </c>
      <c r="O258" s="340" t="s">
        <v>1964</v>
      </c>
      <c r="Q258" s="327" t="str">
        <f>IFERROR(VLOOKUP(ROWS($Q$3:Q258),$M$3:$N$992,2,0),"")</f>
        <v>Velkoobchod se základními zemědělskými produkty a živými zvířaty</v>
      </c>
      <c r="R258">
        <f>IF(ISNUMBER(SEARCH('1Př1'!$A$32,N258)),MAX($M$2:M257)+1,0)</f>
        <v>256</v>
      </c>
      <c r="S258" s="325" t="s">
        <v>1963</v>
      </c>
      <c r="T258" t="str">
        <f>IFERROR(VLOOKUP(ROWS($T$3:T258),$R$3:$S$992,2,0),"")</f>
        <v>Velkoobchod se základními zemědělskými produkty a živými zvířaty</v>
      </c>
      <c r="U258">
        <f>IF(ISNUMBER(SEARCH('1Př1'!$A$33,N258)),MAX($M$2:M257)+1,0)</f>
        <v>256</v>
      </c>
      <c r="V258" s="325" t="s">
        <v>1963</v>
      </c>
      <c r="W258" t="str">
        <f>IFERROR(VLOOKUP(ROWS($W$3:W258),$U$3:$V$992,2,0),"")</f>
        <v>Velkoobchod se základními zemědělskými produkty a živými zvířaty</v>
      </c>
      <c r="X258">
        <f>IF(ISNUMBER(SEARCH('1Př1'!$A$34,N258)),MAX($M$2:M257)+1,0)</f>
        <v>256</v>
      </c>
      <c r="Y258" s="325" t="s">
        <v>1963</v>
      </c>
      <c r="Z258" t="str">
        <f>IFERROR(VLOOKUP(ROWS($Z$3:Z258),$X$3:$Y$992,2,0),"")</f>
        <v>Velkoobchod se základními zemědělskými produkty a živými zvířaty</v>
      </c>
    </row>
    <row r="259" spans="13:26">
      <c r="M259" s="324">
        <f>IF(ISNUMBER(SEARCH(ZAKL_DATA!$B$29,N259)),MAX($M$2:M258)+1,0)</f>
        <v>257</v>
      </c>
      <c r="N259" s="325" t="s">
        <v>1965</v>
      </c>
      <c r="O259" s="340" t="s">
        <v>1966</v>
      </c>
      <c r="Q259" s="327" t="str">
        <f>IFERROR(VLOOKUP(ROWS($Q$3:Q259),$M$3:$N$992,2,0),"")</f>
        <v>Velkoobchod s potravinami, nápoji a tabákovými výrobky</v>
      </c>
      <c r="R259">
        <f>IF(ISNUMBER(SEARCH('1Př1'!$A$32,N259)),MAX($M$2:M258)+1,0)</f>
        <v>257</v>
      </c>
      <c r="S259" s="325" t="s">
        <v>1965</v>
      </c>
      <c r="T259" t="str">
        <f>IFERROR(VLOOKUP(ROWS($T$3:T259),$R$3:$S$992,2,0),"")</f>
        <v>Velkoobchod s potravinami, nápoji a tabákovými výrobky</v>
      </c>
      <c r="U259">
        <f>IF(ISNUMBER(SEARCH('1Př1'!$A$33,N259)),MAX($M$2:M258)+1,0)</f>
        <v>257</v>
      </c>
      <c r="V259" s="325" t="s">
        <v>1965</v>
      </c>
      <c r="W259" t="str">
        <f>IFERROR(VLOOKUP(ROWS($W$3:W259),$U$3:$V$992,2,0),"")</f>
        <v>Velkoobchod s potravinami, nápoji a tabákovými výrobky</v>
      </c>
      <c r="X259">
        <f>IF(ISNUMBER(SEARCH('1Př1'!$A$34,N259)),MAX($M$2:M258)+1,0)</f>
        <v>257</v>
      </c>
      <c r="Y259" s="325" t="s">
        <v>1965</v>
      </c>
      <c r="Z259" t="str">
        <f>IFERROR(VLOOKUP(ROWS($Z$3:Z259),$X$3:$Y$992,2,0),"")</f>
        <v>Velkoobchod s potravinami, nápoji a tabákovými výrobky</v>
      </c>
    </row>
    <row r="260" spans="13:26">
      <c r="M260" s="324">
        <f>IF(ISNUMBER(SEARCH(ZAKL_DATA!$B$29,N260)),MAX($M$2:M259)+1,0)</f>
        <v>258</v>
      </c>
      <c r="N260" s="325" t="s">
        <v>1967</v>
      </c>
      <c r="O260" s="340" t="s">
        <v>1968</v>
      </c>
      <c r="Q260" s="327" t="str">
        <f>IFERROR(VLOOKUP(ROWS($Q$3:Q260),$M$3:$N$992,2,0),"")</f>
        <v>Velkoobchod s výrobky převážně pro domácnost</v>
      </c>
      <c r="R260">
        <f>IF(ISNUMBER(SEARCH('1Př1'!$A$32,N260)),MAX($M$2:M259)+1,0)</f>
        <v>258</v>
      </c>
      <c r="S260" s="325" t="s">
        <v>1967</v>
      </c>
      <c r="T260" t="str">
        <f>IFERROR(VLOOKUP(ROWS($T$3:T260),$R$3:$S$992,2,0),"")</f>
        <v>Velkoobchod s výrobky převážně pro domácnost</v>
      </c>
      <c r="U260">
        <f>IF(ISNUMBER(SEARCH('1Př1'!$A$33,N260)),MAX($M$2:M259)+1,0)</f>
        <v>258</v>
      </c>
      <c r="V260" s="325" t="s">
        <v>1967</v>
      </c>
      <c r="W260" t="str">
        <f>IFERROR(VLOOKUP(ROWS($W$3:W260),$U$3:$V$992,2,0),"")</f>
        <v>Velkoobchod s výrobky převážně pro domácnost</v>
      </c>
      <c r="X260">
        <f>IF(ISNUMBER(SEARCH('1Př1'!$A$34,N260)),MAX($M$2:M259)+1,0)</f>
        <v>258</v>
      </c>
      <c r="Y260" s="325" t="s">
        <v>1967</v>
      </c>
      <c r="Z260" t="str">
        <f>IFERROR(VLOOKUP(ROWS($Z$3:Z260),$X$3:$Y$992,2,0),"")</f>
        <v>Velkoobchod s výrobky převážně pro domácnost</v>
      </c>
    </row>
    <row r="261" spans="13:26">
      <c r="M261" s="324">
        <f>IF(ISNUMBER(SEARCH(ZAKL_DATA!$B$29,N261)),MAX($M$2:M260)+1,0)</f>
        <v>259</v>
      </c>
      <c r="N261" s="325" t="s">
        <v>1969</v>
      </c>
      <c r="O261" s="340" t="s">
        <v>1970</v>
      </c>
      <c r="Q261" s="327" t="str">
        <f>IFERROR(VLOOKUP(ROWS($Q$3:Q261),$M$3:$N$992,2,0),"")</f>
        <v>Velkoobchod s počítačovým a komunikačním zařízením</v>
      </c>
      <c r="R261">
        <f>IF(ISNUMBER(SEARCH('1Př1'!$A$32,N261)),MAX($M$2:M260)+1,0)</f>
        <v>259</v>
      </c>
      <c r="S261" s="325" t="s">
        <v>1969</v>
      </c>
      <c r="T261" t="str">
        <f>IFERROR(VLOOKUP(ROWS($T$3:T261),$R$3:$S$992,2,0),"")</f>
        <v>Velkoobchod s počítačovým a komunikačním zařízením</v>
      </c>
      <c r="U261">
        <f>IF(ISNUMBER(SEARCH('1Př1'!$A$33,N261)),MAX($M$2:M260)+1,0)</f>
        <v>259</v>
      </c>
      <c r="V261" s="325" t="s">
        <v>1969</v>
      </c>
      <c r="W261" t="str">
        <f>IFERROR(VLOOKUP(ROWS($W$3:W261),$U$3:$V$992,2,0),"")</f>
        <v>Velkoobchod s počítačovým a komunikačním zařízením</v>
      </c>
      <c r="X261">
        <f>IF(ISNUMBER(SEARCH('1Př1'!$A$34,N261)),MAX($M$2:M260)+1,0)</f>
        <v>259</v>
      </c>
      <c r="Y261" s="325" t="s">
        <v>1969</v>
      </c>
      <c r="Z261" t="str">
        <f>IFERROR(VLOOKUP(ROWS($Z$3:Z261),$X$3:$Y$992,2,0),"")</f>
        <v>Velkoobchod s počítačovým a komunikačním zařízením</v>
      </c>
    </row>
    <row r="262" spans="13:26">
      <c r="M262" s="324">
        <f>IF(ISNUMBER(SEARCH(ZAKL_DATA!$B$29,N262)),MAX($M$2:M261)+1,0)</f>
        <v>260</v>
      </c>
      <c r="N262" s="325" t="s">
        <v>1971</v>
      </c>
      <c r="O262" s="340" t="s">
        <v>1972</v>
      </c>
      <c r="Q262" s="327" t="str">
        <f>IFERROR(VLOOKUP(ROWS($Q$3:Q262),$M$3:$N$992,2,0),"")</f>
        <v>Velkoobchod s ostatními stroji, strojním zařízením a příslušenstvím</v>
      </c>
      <c r="R262">
        <f>IF(ISNUMBER(SEARCH('1Př1'!$A$32,N262)),MAX($M$2:M261)+1,0)</f>
        <v>260</v>
      </c>
      <c r="S262" s="325" t="s">
        <v>1971</v>
      </c>
      <c r="T262" t="str">
        <f>IFERROR(VLOOKUP(ROWS($T$3:T262),$R$3:$S$992,2,0),"")</f>
        <v>Velkoobchod s ostatními stroji, strojním zařízením a příslušenstvím</v>
      </c>
      <c r="U262">
        <f>IF(ISNUMBER(SEARCH('1Př1'!$A$33,N262)),MAX($M$2:M261)+1,0)</f>
        <v>260</v>
      </c>
      <c r="V262" s="325" t="s">
        <v>1971</v>
      </c>
      <c r="W262" t="str">
        <f>IFERROR(VLOOKUP(ROWS($W$3:W262),$U$3:$V$992,2,0),"")</f>
        <v>Velkoobchod s ostatními stroji, strojním zařízením a příslušenstvím</v>
      </c>
      <c r="X262">
        <f>IF(ISNUMBER(SEARCH('1Př1'!$A$34,N262)),MAX($M$2:M261)+1,0)</f>
        <v>260</v>
      </c>
      <c r="Y262" s="325" t="s">
        <v>1971</v>
      </c>
      <c r="Z262" t="str">
        <f>IFERROR(VLOOKUP(ROWS($Z$3:Z262),$X$3:$Y$992,2,0),"")</f>
        <v>Velkoobchod s ostatními stroji, strojním zařízením a příslušenstvím</v>
      </c>
    </row>
    <row r="263" spans="13:26">
      <c r="M263" s="324">
        <f>IF(ISNUMBER(SEARCH(ZAKL_DATA!$B$29,N263)),MAX($M$2:M262)+1,0)</f>
        <v>261</v>
      </c>
      <c r="N263" s="325" t="s">
        <v>1973</v>
      </c>
      <c r="O263" s="340" t="s">
        <v>1974</v>
      </c>
      <c r="Q263" s="327" t="str">
        <f>IFERROR(VLOOKUP(ROWS($Q$3:Q263),$M$3:$N$992,2,0),"")</f>
        <v>Ostatní specializovaný velkoobchod</v>
      </c>
      <c r="R263">
        <f>IF(ISNUMBER(SEARCH('1Př1'!$A$32,N263)),MAX($M$2:M262)+1,0)</f>
        <v>261</v>
      </c>
      <c r="S263" s="325" t="s">
        <v>1973</v>
      </c>
      <c r="T263" t="str">
        <f>IFERROR(VLOOKUP(ROWS($T$3:T263),$R$3:$S$992,2,0),"")</f>
        <v>Ostatní specializovaný velkoobchod</v>
      </c>
      <c r="U263">
        <f>IF(ISNUMBER(SEARCH('1Př1'!$A$33,N263)),MAX($M$2:M262)+1,0)</f>
        <v>261</v>
      </c>
      <c r="V263" s="325" t="s">
        <v>1973</v>
      </c>
      <c r="W263" t="str">
        <f>IFERROR(VLOOKUP(ROWS($W$3:W263),$U$3:$V$992,2,0),"")</f>
        <v>Ostatní specializovaný velkoobchod</v>
      </c>
      <c r="X263">
        <f>IF(ISNUMBER(SEARCH('1Př1'!$A$34,N263)),MAX($M$2:M262)+1,0)</f>
        <v>261</v>
      </c>
      <c r="Y263" s="325" t="s">
        <v>1973</v>
      </c>
      <c r="Z263" t="str">
        <f>IFERROR(VLOOKUP(ROWS($Z$3:Z263),$X$3:$Y$992,2,0),"")</f>
        <v>Ostatní specializovaný velkoobchod</v>
      </c>
    </row>
    <row r="264" spans="13:26">
      <c r="M264" s="324">
        <f>IF(ISNUMBER(SEARCH(ZAKL_DATA!$B$29,N264)),MAX($M$2:M263)+1,0)</f>
        <v>262</v>
      </c>
      <c r="N264" s="325" t="s">
        <v>1975</v>
      </c>
      <c r="O264" s="340" t="s">
        <v>1976</v>
      </c>
      <c r="Q264" s="327" t="str">
        <f>IFERROR(VLOOKUP(ROWS($Q$3:Q264),$M$3:$N$992,2,0),"")</f>
        <v>Nespecializovaný velkoobchod</v>
      </c>
      <c r="R264">
        <f>IF(ISNUMBER(SEARCH('1Př1'!$A$32,N264)),MAX($M$2:M263)+1,0)</f>
        <v>262</v>
      </c>
      <c r="S264" s="325" t="s">
        <v>1975</v>
      </c>
      <c r="T264" t="str">
        <f>IFERROR(VLOOKUP(ROWS($T$3:T264),$R$3:$S$992,2,0),"")</f>
        <v>Nespecializovaný velkoobchod</v>
      </c>
      <c r="U264">
        <f>IF(ISNUMBER(SEARCH('1Př1'!$A$33,N264)),MAX($M$2:M263)+1,0)</f>
        <v>262</v>
      </c>
      <c r="V264" s="325" t="s">
        <v>1975</v>
      </c>
      <c r="W264" t="str">
        <f>IFERROR(VLOOKUP(ROWS($W$3:W264),$U$3:$V$992,2,0),"")</f>
        <v>Nespecializovaný velkoobchod</v>
      </c>
      <c r="X264">
        <f>IF(ISNUMBER(SEARCH('1Př1'!$A$34,N264)),MAX($M$2:M263)+1,0)</f>
        <v>262</v>
      </c>
      <c r="Y264" s="325" t="s">
        <v>1975</v>
      </c>
      <c r="Z264" t="str">
        <f>IFERROR(VLOOKUP(ROWS($Z$3:Z264),$X$3:$Y$992,2,0),"")</f>
        <v>Nespecializovaný velkoobchod</v>
      </c>
    </row>
    <row r="265" spans="13:26">
      <c r="M265" s="324">
        <f>IF(ISNUMBER(SEARCH(ZAKL_DATA!$B$29,N265)),MAX($M$2:M264)+1,0)</f>
        <v>263</v>
      </c>
      <c r="N265" s="325" t="s">
        <v>1977</v>
      </c>
      <c r="O265" s="340" t="s">
        <v>1978</v>
      </c>
      <c r="Q265" s="327" t="str">
        <f>IFERROR(VLOOKUP(ROWS($Q$3:Q265),$M$3:$N$992,2,0),"")</f>
        <v>Maloobchod v nespecializovaných prodejnách</v>
      </c>
      <c r="R265">
        <f>IF(ISNUMBER(SEARCH('1Př1'!$A$32,N265)),MAX($M$2:M264)+1,0)</f>
        <v>263</v>
      </c>
      <c r="S265" s="325" t="s">
        <v>1977</v>
      </c>
      <c r="T265" t="str">
        <f>IFERROR(VLOOKUP(ROWS($T$3:T265),$R$3:$S$992,2,0),"")</f>
        <v>Maloobchod v nespecializovaných prodejnách</v>
      </c>
      <c r="U265">
        <f>IF(ISNUMBER(SEARCH('1Př1'!$A$33,N265)),MAX($M$2:M264)+1,0)</f>
        <v>263</v>
      </c>
      <c r="V265" s="325" t="s">
        <v>1977</v>
      </c>
      <c r="W265" t="str">
        <f>IFERROR(VLOOKUP(ROWS($W$3:W265),$U$3:$V$992,2,0),"")</f>
        <v>Maloobchod v nespecializovaných prodejnách</v>
      </c>
      <c r="X265">
        <f>IF(ISNUMBER(SEARCH('1Př1'!$A$34,N265)),MAX($M$2:M264)+1,0)</f>
        <v>263</v>
      </c>
      <c r="Y265" s="325" t="s">
        <v>1977</v>
      </c>
      <c r="Z265" t="str">
        <f>IFERROR(VLOOKUP(ROWS($Z$3:Z265),$X$3:$Y$992,2,0),"")</f>
        <v>Maloobchod v nespecializovaných prodejnách</v>
      </c>
    </row>
    <row r="266" spans="13:26">
      <c r="M266" s="324">
        <f>IF(ISNUMBER(SEARCH(ZAKL_DATA!$B$29,N266)),MAX($M$2:M265)+1,0)</f>
        <v>264</v>
      </c>
      <c r="N266" s="325" t="s">
        <v>1979</v>
      </c>
      <c r="O266" s="340" t="s">
        <v>1980</v>
      </c>
      <c r="Q266" s="327" t="str">
        <f>IFERROR(VLOOKUP(ROWS($Q$3:Q266),$M$3:$N$992,2,0),"")</f>
        <v>Maloobchod s potravinami,nápoji a tabák.výrobky ve specializ.prodejnách</v>
      </c>
      <c r="R266">
        <f>IF(ISNUMBER(SEARCH('1Př1'!$A$32,N266)),MAX($M$2:M265)+1,0)</f>
        <v>264</v>
      </c>
      <c r="S266" s="325" t="s">
        <v>1979</v>
      </c>
      <c r="T266" t="str">
        <f>IFERROR(VLOOKUP(ROWS($T$3:T266),$R$3:$S$992,2,0),"")</f>
        <v>Maloobchod s potravinami,nápoji a tabák.výrobky ve specializ.prodejnách</v>
      </c>
      <c r="U266">
        <f>IF(ISNUMBER(SEARCH('1Př1'!$A$33,N266)),MAX($M$2:M265)+1,0)</f>
        <v>264</v>
      </c>
      <c r="V266" s="325" t="s">
        <v>1979</v>
      </c>
      <c r="W266" t="str">
        <f>IFERROR(VLOOKUP(ROWS($W$3:W266),$U$3:$V$992,2,0),"")</f>
        <v>Maloobchod s potravinami,nápoji a tabák.výrobky ve specializ.prodejnách</v>
      </c>
      <c r="X266">
        <f>IF(ISNUMBER(SEARCH('1Př1'!$A$34,N266)),MAX($M$2:M265)+1,0)</f>
        <v>264</v>
      </c>
      <c r="Y266" s="325" t="s">
        <v>1979</v>
      </c>
      <c r="Z266" t="str">
        <f>IFERROR(VLOOKUP(ROWS($Z$3:Z266),$X$3:$Y$992,2,0),"")</f>
        <v>Maloobchod s potravinami,nápoji a tabák.výrobky ve specializ.prodejnách</v>
      </c>
    </row>
    <row r="267" spans="13:26">
      <c r="M267" s="324">
        <f>IF(ISNUMBER(SEARCH(ZAKL_DATA!$B$29,N267)),MAX($M$2:M266)+1,0)</f>
        <v>265</v>
      </c>
      <c r="N267" s="325" t="s">
        <v>1981</v>
      </c>
      <c r="O267" s="340" t="s">
        <v>1982</v>
      </c>
      <c r="Q267" s="327" t="str">
        <f>IFERROR(VLOOKUP(ROWS($Q$3:Q267),$M$3:$N$992,2,0),"")</f>
        <v>Maloobchod s pohonnými hmotami ve specializovaných prodejnách</v>
      </c>
      <c r="R267">
        <f>IF(ISNUMBER(SEARCH('1Př1'!$A$32,N267)),MAX($M$2:M266)+1,0)</f>
        <v>265</v>
      </c>
      <c r="S267" s="325" t="s">
        <v>1981</v>
      </c>
      <c r="T267" t="str">
        <f>IFERROR(VLOOKUP(ROWS($T$3:T267),$R$3:$S$992,2,0),"")</f>
        <v>Maloobchod s pohonnými hmotami ve specializovaných prodejnách</v>
      </c>
      <c r="U267">
        <f>IF(ISNUMBER(SEARCH('1Př1'!$A$33,N267)),MAX($M$2:M266)+1,0)</f>
        <v>265</v>
      </c>
      <c r="V267" s="325" t="s">
        <v>1981</v>
      </c>
      <c r="W267" t="str">
        <f>IFERROR(VLOOKUP(ROWS($W$3:W267),$U$3:$V$992,2,0),"")</f>
        <v>Maloobchod s pohonnými hmotami ve specializovaných prodejnách</v>
      </c>
      <c r="X267">
        <f>IF(ISNUMBER(SEARCH('1Př1'!$A$34,N267)),MAX($M$2:M266)+1,0)</f>
        <v>265</v>
      </c>
      <c r="Y267" s="325" t="s">
        <v>1981</v>
      </c>
      <c r="Z267" t="str">
        <f>IFERROR(VLOOKUP(ROWS($Z$3:Z267),$X$3:$Y$992,2,0),"")</f>
        <v>Maloobchod s pohonnými hmotami ve specializovaných prodejnách</v>
      </c>
    </row>
    <row r="268" spans="13:26">
      <c r="M268" s="324">
        <f>IF(ISNUMBER(SEARCH(ZAKL_DATA!$B$29,N268)),MAX($M$2:M267)+1,0)</f>
        <v>266</v>
      </c>
      <c r="N268" s="325" t="s">
        <v>1983</v>
      </c>
      <c r="O268" s="340" t="s">
        <v>1984</v>
      </c>
      <c r="Q268" s="327" t="str">
        <f>IFERROR(VLOOKUP(ROWS($Q$3:Q268),$M$3:$N$992,2,0),"")</f>
        <v>Maloobchod s počítačovým a komunikačním zařízením ve specializ.prodejnách</v>
      </c>
      <c r="R268">
        <f>IF(ISNUMBER(SEARCH('1Př1'!$A$32,N268)),MAX($M$2:M267)+1,0)</f>
        <v>266</v>
      </c>
      <c r="S268" s="325" t="s">
        <v>1983</v>
      </c>
      <c r="T268" t="str">
        <f>IFERROR(VLOOKUP(ROWS($T$3:T268),$R$3:$S$992,2,0),"")</f>
        <v>Maloobchod s počítačovým a komunikačním zařízením ve specializ.prodejnách</v>
      </c>
      <c r="U268">
        <f>IF(ISNUMBER(SEARCH('1Př1'!$A$33,N268)),MAX($M$2:M267)+1,0)</f>
        <v>266</v>
      </c>
      <c r="V268" s="325" t="s">
        <v>1983</v>
      </c>
      <c r="W268" t="str">
        <f>IFERROR(VLOOKUP(ROWS($W$3:W268),$U$3:$V$992,2,0),"")</f>
        <v>Maloobchod s počítačovým a komunikačním zařízením ve specializ.prodejnách</v>
      </c>
      <c r="X268">
        <f>IF(ISNUMBER(SEARCH('1Př1'!$A$34,N268)),MAX($M$2:M267)+1,0)</f>
        <v>266</v>
      </c>
      <c r="Y268" s="325" t="s">
        <v>1983</v>
      </c>
      <c r="Z268" t="str">
        <f>IFERROR(VLOOKUP(ROWS($Z$3:Z268),$X$3:$Y$992,2,0),"")</f>
        <v>Maloobchod s počítačovým a komunikačním zařízením ve specializ.prodejnách</v>
      </c>
    </row>
    <row r="269" spans="13:26">
      <c r="M269" s="324">
        <f>IF(ISNUMBER(SEARCH(ZAKL_DATA!$B$29,N269)),MAX($M$2:M268)+1,0)</f>
        <v>267</v>
      </c>
      <c r="N269" s="325" t="s">
        <v>1985</v>
      </c>
      <c r="O269" s="340" t="s">
        <v>1986</v>
      </c>
      <c r="Q269" s="327" t="str">
        <f>IFERROR(VLOOKUP(ROWS($Q$3:Q269),$M$3:$N$992,2,0),"")</f>
        <v>Maloobchod s ost.výrobky převážně pro domácnost ve specializ.prodejnách</v>
      </c>
      <c r="R269">
        <f>IF(ISNUMBER(SEARCH('1Př1'!$A$32,N269)),MAX($M$2:M268)+1,0)</f>
        <v>267</v>
      </c>
      <c r="S269" s="325" t="s">
        <v>1985</v>
      </c>
      <c r="T269" t="str">
        <f>IFERROR(VLOOKUP(ROWS($T$3:T269),$R$3:$S$992,2,0),"")</f>
        <v>Maloobchod s ost.výrobky převážně pro domácnost ve specializ.prodejnách</v>
      </c>
      <c r="U269">
        <f>IF(ISNUMBER(SEARCH('1Př1'!$A$33,N269)),MAX($M$2:M268)+1,0)</f>
        <v>267</v>
      </c>
      <c r="V269" s="325" t="s">
        <v>1985</v>
      </c>
      <c r="W269" t="str">
        <f>IFERROR(VLOOKUP(ROWS($W$3:W269),$U$3:$V$992,2,0),"")</f>
        <v>Maloobchod s ost.výrobky převážně pro domácnost ve specializ.prodejnách</v>
      </c>
      <c r="X269">
        <f>IF(ISNUMBER(SEARCH('1Př1'!$A$34,N269)),MAX($M$2:M268)+1,0)</f>
        <v>267</v>
      </c>
      <c r="Y269" s="325" t="s">
        <v>1985</v>
      </c>
      <c r="Z269" t="str">
        <f>IFERROR(VLOOKUP(ROWS($Z$3:Z269),$X$3:$Y$992,2,0),"")</f>
        <v>Maloobchod s ost.výrobky převážně pro domácnost ve specializ.prodejnách</v>
      </c>
    </row>
    <row r="270" spans="13:26">
      <c r="M270" s="324">
        <f>IF(ISNUMBER(SEARCH(ZAKL_DATA!$B$29,N270)),MAX($M$2:M269)+1,0)</f>
        <v>268</v>
      </c>
      <c r="N270" s="325" t="s">
        <v>1987</v>
      </c>
      <c r="O270" s="340" t="s">
        <v>1988</v>
      </c>
      <c r="Q270" s="327" t="str">
        <f>IFERROR(VLOOKUP(ROWS($Q$3:Q270),$M$3:$N$992,2,0),"")</f>
        <v>Maloobchod s výrobky pro kulturní rozhled a rekreaci ve specializ.prod.</v>
      </c>
      <c r="R270">
        <f>IF(ISNUMBER(SEARCH('1Př1'!$A$32,N270)),MAX($M$2:M269)+1,0)</f>
        <v>268</v>
      </c>
      <c r="S270" s="325" t="s">
        <v>1987</v>
      </c>
      <c r="T270" t="str">
        <f>IFERROR(VLOOKUP(ROWS($T$3:T270),$R$3:$S$992,2,0),"")</f>
        <v>Maloobchod s výrobky pro kulturní rozhled a rekreaci ve specializ.prod.</v>
      </c>
      <c r="U270">
        <f>IF(ISNUMBER(SEARCH('1Př1'!$A$33,N270)),MAX($M$2:M269)+1,0)</f>
        <v>268</v>
      </c>
      <c r="V270" s="325" t="s">
        <v>1987</v>
      </c>
      <c r="W270" t="str">
        <f>IFERROR(VLOOKUP(ROWS($W$3:W270),$U$3:$V$992,2,0),"")</f>
        <v>Maloobchod s výrobky pro kulturní rozhled a rekreaci ve specializ.prod.</v>
      </c>
      <c r="X270">
        <f>IF(ISNUMBER(SEARCH('1Př1'!$A$34,N270)),MAX($M$2:M269)+1,0)</f>
        <v>268</v>
      </c>
      <c r="Y270" s="325" t="s">
        <v>1987</v>
      </c>
      <c r="Z270" t="str">
        <f>IFERROR(VLOOKUP(ROWS($Z$3:Z270),$X$3:$Y$992,2,0),"")</f>
        <v>Maloobchod s výrobky pro kulturní rozhled a rekreaci ve specializ.prod.</v>
      </c>
    </row>
    <row r="271" spans="13:26">
      <c r="M271" s="324">
        <f>IF(ISNUMBER(SEARCH(ZAKL_DATA!$B$29,N271)),MAX($M$2:M270)+1,0)</f>
        <v>269</v>
      </c>
      <c r="N271" s="325" t="s">
        <v>1989</v>
      </c>
      <c r="O271" s="340" t="s">
        <v>1990</v>
      </c>
      <c r="Q271" s="327" t="str">
        <f>IFERROR(VLOOKUP(ROWS($Q$3:Q271),$M$3:$N$992,2,0),"")</f>
        <v>Maloobchod s ostatním zbožím ve specializovaných prodejnách</v>
      </c>
      <c r="R271">
        <f>IF(ISNUMBER(SEARCH('1Př1'!$A$32,N271)),MAX($M$2:M270)+1,0)</f>
        <v>269</v>
      </c>
      <c r="S271" s="325" t="s">
        <v>1989</v>
      </c>
      <c r="T271" t="str">
        <f>IFERROR(VLOOKUP(ROWS($T$3:T271),$R$3:$S$992,2,0),"")</f>
        <v>Maloobchod s ostatním zbožím ve specializovaných prodejnách</v>
      </c>
      <c r="U271">
        <f>IF(ISNUMBER(SEARCH('1Př1'!$A$33,N271)),MAX($M$2:M270)+1,0)</f>
        <v>269</v>
      </c>
      <c r="V271" s="325" t="s">
        <v>1989</v>
      </c>
      <c r="W271" t="str">
        <f>IFERROR(VLOOKUP(ROWS($W$3:W271),$U$3:$V$992,2,0),"")</f>
        <v>Maloobchod s ostatním zbožím ve specializovaných prodejnách</v>
      </c>
      <c r="X271">
        <f>IF(ISNUMBER(SEARCH('1Př1'!$A$34,N271)),MAX($M$2:M270)+1,0)</f>
        <v>269</v>
      </c>
      <c r="Y271" s="325" t="s">
        <v>1989</v>
      </c>
      <c r="Z271" t="str">
        <f>IFERROR(VLOOKUP(ROWS($Z$3:Z271),$X$3:$Y$992,2,0),"")</f>
        <v>Maloobchod s ostatním zbožím ve specializovaných prodejnách</v>
      </c>
    </row>
    <row r="272" spans="13:26">
      <c r="M272" s="324">
        <f>IF(ISNUMBER(SEARCH(ZAKL_DATA!$B$29,N272)),MAX($M$2:M271)+1,0)</f>
        <v>270</v>
      </c>
      <c r="N272" s="325" t="s">
        <v>1991</v>
      </c>
      <c r="O272" s="340" t="s">
        <v>1992</v>
      </c>
      <c r="Q272" s="327" t="str">
        <f>IFERROR(VLOOKUP(ROWS($Q$3:Q272),$M$3:$N$992,2,0),"")</f>
        <v>Maloobchod ve stáncích a na trzích</v>
      </c>
      <c r="R272">
        <f>IF(ISNUMBER(SEARCH('1Př1'!$A$32,N272)),MAX($M$2:M271)+1,0)</f>
        <v>270</v>
      </c>
      <c r="S272" s="325" t="s">
        <v>1991</v>
      </c>
      <c r="T272" t="str">
        <f>IFERROR(VLOOKUP(ROWS($T$3:T272),$R$3:$S$992,2,0),"")</f>
        <v>Maloobchod ve stáncích a na trzích</v>
      </c>
      <c r="U272">
        <f>IF(ISNUMBER(SEARCH('1Př1'!$A$33,N272)),MAX($M$2:M271)+1,0)</f>
        <v>270</v>
      </c>
      <c r="V272" s="325" t="s">
        <v>1991</v>
      </c>
      <c r="W272" t="str">
        <f>IFERROR(VLOOKUP(ROWS($W$3:W272),$U$3:$V$992,2,0),"")</f>
        <v>Maloobchod ve stáncích a na trzích</v>
      </c>
      <c r="X272">
        <f>IF(ISNUMBER(SEARCH('1Př1'!$A$34,N272)),MAX($M$2:M271)+1,0)</f>
        <v>270</v>
      </c>
      <c r="Y272" s="325" t="s">
        <v>1991</v>
      </c>
      <c r="Z272" t="str">
        <f>IFERROR(VLOOKUP(ROWS($Z$3:Z272),$X$3:$Y$992,2,0),"")</f>
        <v>Maloobchod ve stáncích a na trzích</v>
      </c>
    </row>
    <row r="273" spans="13:26">
      <c r="M273" s="324">
        <f>IF(ISNUMBER(SEARCH(ZAKL_DATA!$B$29,N273)),MAX($M$2:M272)+1,0)</f>
        <v>271</v>
      </c>
      <c r="N273" s="325" t="s">
        <v>1993</v>
      </c>
      <c r="O273" s="340" t="s">
        <v>1994</v>
      </c>
      <c r="Q273" s="327" t="str">
        <f>IFERROR(VLOOKUP(ROWS($Q$3:Q273),$M$3:$N$992,2,0),"")</f>
        <v>Maloobchod mimo prodejny, stánky a trhy</v>
      </c>
      <c r="R273">
        <f>IF(ISNUMBER(SEARCH('1Př1'!$A$32,N273)),MAX($M$2:M272)+1,0)</f>
        <v>271</v>
      </c>
      <c r="S273" s="325" t="s">
        <v>1993</v>
      </c>
      <c r="T273" t="str">
        <f>IFERROR(VLOOKUP(ROWS($T$3:T273),$R$3:$S$992,2,0),"")</f>
        <v>Maloobchod mimo prodejny, stánky a trhy</v>
      </c>
      <c r="U273">
        <f>IF(ISNUMBER(SEARCH('1Př1'!$A$33,N273)),MAX($M$2:M272)+1,0)</f>
        <v>271</v>
      </c>
      <c r="V273" s="325" t="s">
        <v>1993</v>
      </c>
      <c r="W273" t="str">
        <f>IFERROR(VLOOKUP(ROWS($W$3:W273),$U$3:$V$992,2,0),"")</f>
        <v>Maloobchod mimo prodejny, stánky a trhy</v>
      </c>
      <c r="X273">
        <f>IF(ISNUMBER(SEARCH('1Př1'!$A$34,N273)),MAX($M$2:M272)+1,0)</f>
        <v>271</v>
      </c>
      <c r="Y273" s="325" t="s">
        <v>1993</v>
      </c>
      <c r="Z273" t="str">
        <f>IFERROR(VLOOKUP(ROWS($Z$3:Z273),$X$3:$Y$992,2,0),"")</f>
        <v>Maloobchod mimo prodejny, stánky a trhy</v>
      </c>
    </row>
    <row r="274" spans="13:26">
      <c r="M274" s="324">
        <f>IF(ISNUMBER(SEARCH(ZAKL_DATA!$B$29,N274)),MAX($M$2:M273)+1,0)</f>
        <v>272</v>
      </c>
      <c r="N274" s="325" t="s">
        <v>1995</v>
      </c>
      <c r="O274" s="340" t="s">
        <v>1996</v>
      </c>
      <c r="Q274" s="327" t="str">
        <f>IFERROR(VLOOKUP(ROWS($Q$3:Q274),$M$3:$N$992,2,0),"")</f>
        <v>železniční osobní doprava meziměstská</v>
      </c>
      <c r="R274">
        <f>IF(ISNUMBER(SEARCH('1Př1'!$A$32,N274)),MAX($M$2:M273)+1,0)</f>
        <v>272</v>
      </c>
      <c r="S274" s="325" t="s">
        <v>1995</v>
      </c>
      <c r="T274" t="str">
        <f>IFERROR(VLOOKUP(ROWS($T$3:T274),$R$3:$S$992,2,0),"")</f>
        <v>železniční osobní doprava meziměstská</v>
      </c>
      <c r="U274">
        <f>IF(ISNUMBER(SEARCH('1Př1'!$A$33,N274)),MAX($M$2:M273)+1,0)</f>
        <v>272</v>
      </c>
      <c r="V274" s="325" t="s">
        <v>1995</v>
      </c>
      <c r="W274" t="str">
        <f>IFERROR(VLOOKUP(ROWS($W$3:W274),$U$3:$V$992,2,0),"")</f>
        <v>železniční osobní doprava meziměstská</v>
      </c>
      <c r="X274">
        <f>IF(ISNUMBER(SEARCH('1Př1'!$A$34,N274)),MAX($M$2:M273)+1,0)</f>
        <v>272</v>
      </c>
      <c r="Y274" s="325" t="s">
        <v>1995</v>
      </c>
      <c r="Z274" t="str">
        <f>IFERROR(VLOOKUP(ROWS($Z$3:Z274),$X$3:$Y$992,2,0),"")</f>
        <v>železniční osobní doprava meziměstská</v>
      </c>
    </row>
    <row r="275" spans="13:26">
      <c r="M275" s="324">
        <f>IF(ISNUMBER(SEARCH(ZAKL_DATA!$B$29,N275)),MAX($M$2:M274)+1,0)</f>
        <v>273</v>
      </c>
      <c r="N275" s="325" t="s">
        <v>1997</v>
      </c>
      <c r="O275" s="340" t="s">
        <v>1998</v>
      </c>
      <c r="Q275" s="327" t="str">
        <f>IFERROR(VLOOKUP(ROWS($Q$3:Q275),$M$3:$N$992,2,0),"")</f>
        <v>železniční nákladní doprava</v>
      </c>
      <c r="R275">
        <f>IF(ISNUMBER(SEARCH('1Př1'!$A$32,N275)),MAX($M$2:M274)+1,0)</f>
        <v>273</v>
      </c>
      <c r="S275" s="325" t="s">
        <v>1997</v>
      </c>
      <c r="T275" t="str">
        <f>IFERROR(VLOOKUP(ROWS($T$3:T275),$R$3:$S$992,2,0),"")</f>
        <v>železniční nákladní doprava</v>
      </c>
      <c r="U275">
        <f>IF(ISNUMBER(SEARCH('1Př1'!$A$33,N275)),MAX($M$2:M274)+1,0)</f>
        <v>273</v>
      </c>
      <c r="V275" s="325" t="s">
        <v>1997</v>
      </c>
      <c r="W275" t="str">
        <f>IFERROR(VLOOKUP(ROWS($W$3:W275),$U$3:$V$992,2,0),"")</f>
        <v>železniční nákladní doprava</v>
      </c>
      <c r="X275">
        <f>IF(ISNUMBER(SEARCH('1Př1'!$A$34,N275)),MAX($M$2:M274)+1,0)</f>
        <v>273</v>
      </c>
      <c r="Y275" s="325" t="s">
        <v>1997</v>
      </c>
      <c r="Z275" t="str">
        <f>IFERROR(VLOOKUP(ROWS($Z$3:Z275),$X$3:$Y$992,2,0),"")</f>
        <v>železniční nákladní doprava</v>
      </c>
    </row>
    <row r="276" spans="13:26">
      <c r="M276" s="324">
        <f>IF(ISNUMBER(SEARCH(ZAKL_DATA!$B$29,N276)),MAX($M$2:M275)+1,0)</f>
        <v>274</v>
      </c>
      <c r="N276" s="325" t="s">
        <v>1999</v>
      </c>
      <c r="O276" s="340" t="s">
        <v>2000</v>
      </c>
      <c r="Q276" s="327" t="str">
        <f>IFERROR(VLOOKUP(ROWS($Q$3:Q276),$M$3:$N$992,2,0),"")</f>
        <v>Ostatní pozemní osobní doprava</v>
      </c>
      <c r="R276">
        <f>IF(ISNUMBER(SEARCH('1Př1'!$A$32,N276)),MAX($M$2:M275)+1,0)</f>
        <v>274</v>
      </c>
      <c r="S276" s="325" t="s">
        <v>1999</v>
      </c>
      <c r="T276" t="str">
        <f>IFERROR(VLOOKUP(ROWS($T$3:T276),$R$3:$S$992,2,0),"")</f>
        <v>Ostatní pozemní osobní doprava</v>
      </c>
      <c r="U276">
        <f>IF(ISNUMBER(SEARCH('1Př1'!$A$33,N276)),MAX($M$2:M275)+1,0)</f>
        <v>274</v>
      </c>
      <c r="V276" s="325" t="s">
        <v>1999</v>
      </c>
      <c r="W276" t="str">
        <f>IFERROR(VLOOKUP(ROWS($W$3:W276),$U$3:$V$992,2,0),"")</f>
        <v>Ostatní pozemní osobní doprava</v>
      </c>
      <c r="X276">
        <f>IF(ISNUMBER(SEARCH('1Př1'!$A$34,N276)),MAX($M$2:M275)+1,0)</f>
        <v>274</v>
      </c>
      <c r="Y276" s="325" t="s">
        <v>1999</v>
      </c>
      <c r="Z276" t="str">
        <f>IFERROR(VLOOKUP(ROWS($Z$3:Z276),$X$3:$Y$992,2,0),"")</f>
        <v>Ostatní pozemní osobní doprava</v>
      </c>
    </row>
    <row r="277" spans="13:26">
      <c r="M277" s="324">
        <f>IF(ISNUMBER(SEARCH(ZAKL_DATA!$B$29,N277)),MAX($M$2:M276)+1,0)</f>
        <v>275</v>
      </c>
      <c r="N277" s="325" t="s">
        <v>2001</v>
      </c>
      <c r="O277" s="340" t="s">
        <v>2002</v>
      </c>
      <c r="Q277" s="327" t="str">
        <f>IFERROR(VLOOKUP(ROWS($Q$3:Q277),$M$3:$N$992,2,0),"")</f>
        <v>Silniční nákladní doprava a stěhovací služby</v>
      </c>
      <c r="R277">
        <f>IF(ISNUMBER(SEARCH('1Př1'!$A$32,N277)),MAX($M$2:M276)+1,0)</f>
        <v>275</v>
      </c>
      <c r="S277" s="325" t="s">
        <v>2001</v>
      </c>
      <c r="T277" t="str">
        <f>IFERROR(VLOOKUP(ROWS($T$3:T277),$R$3:$S$992,2,0),"")</f>
        <v>Silniční nákladní doprava a stěhovací služby</v>
      </c>
      <c r="U277">
        <f>IF(ISNUMBER(SEARCH('1Př1'!$A$33,N277)),MAX($M$2:M276)+1,0)</f>
        <v>275</v>
      </c>
      <c r="V277" s="325" t="s">
        <v>2001</v>
      </c>
      <c r="W277" t="str">
        <f>IFERROR(VLOOKUP(ROWS($W$3:W277),$U$3:$V$992,2,0),"")</f>
        <v>Silniční nákladní doprava a stěhovací služby</v>
      </c>
      <c r="X277">
        <f>IF(ISNUMBER(SEARCH('1Př1'!$A$34,N277)),MAX($M$2:M276)+1,0)</f>
        <v>275</v>
      </c>
      <c r="Y277" s="325" t="s">
        <v>2001</v>
      </c>
      <c r="Z277" t="str">
        <f>IFERROR(VLOOKUP(ROWS($Z$3:Z277),$X$3:$Y$992,2,0),"")</f>
        <v>Silniční nákladní doprava a stěhovací služby</v>
      </c>
    </row>
    <row r="278" spans="13:26">
      <c r="M278" s="324">
        <f>IF(ISNUMBER(SEARCH(ZAKL_DATA!$B$29,N278)),MAX($M$2:M277)+1,0)</f>
        <v>276</v>
      </c>
      <c r="N278" s="325" t="s">
        <v>2003</v>
      </c>
      <c r="O278" s="340" t="s">
        <v>2004</v>
      </c>
      <c r="Q278" s="327" t="str">
        <f>IFERROR(VLOOKUP(ROWS($Q$3:Q278),$M$3:$N$992,2,0),"")</f>
        <v>Potrubní doprava</v>
      </c>
      <c r="R278">
        <f>IF(ISNUMBER(SEARCH('1Př1'!$A$32,N278)),MAX($M$2:M277)+1,0)</f>
        <v>276</v>
      </c>
      <c r="S278" s="325" t="s">
        <v>2003</v>
      </c>
      <c r="T278" t="str">
        <f>IFERROR(VLOOKUP(ROWS($T$3:T278),$R$3:$S$992,2,0),"")</f>
        <v>Potrubní doprava</v>
      </c>
      <c r="U278">
        <f>IF(ISNUMBER(SEARCH('1Př1'!$A$33,N278)),MAX($M$2:M277)+1,0)</f>
        <v>276</v>
      </c>
      <c r="V278" s="325" t="s">
        <v>2003</v>
      </c>
      <c r="W278" t="str">
        <f>IFERROR(VLOOKUP(ROWS($W$3:W278),$U$3:$V$992,2,0),"")</f>
        <v>Potrubní doprava</v>
      </c>
      <c r="X278">
        <f>IF(ISNUMBER(SEARCH('1Př1'!$A$34,N278)),MAX($M$2:M277)+1,0)</f>
        <v>276</v>
      </c>
      <c r="Y278" s="325" t="s">
        <v>2003</v>
      </c>
      <c r="Z278" t="str">
        <f>IFERROR(VLOOKUP(ROWS($Z$3:Z278),$X$3:$Y$992,2,0),"")</f>
        <v>Potrubní doprava</v>
      </c>
    </row>
    <row r="279" spans="13:26">
      <c r="M279" s="324">
        <f>IF(ISNUMBER(SEARCH(ZAKL_DATA!$B$29,N279)),MAX($M$2:M278)+1,0)</f>
        <v>277</v>
      </c>
      <c r="N279" s="325" t="s">
        <v>2005</v>
      </c>
      <c r="O279" s="340" t="s">
        <v>2006</v>
      </c>
      <c r="Q279" s="327" t="str">
        <f>IFERROR(VLOOKUP(ROWS($Q$3:Q279),$M$3:$N$992,2,0),"")</f>
        <v>Námořní a pobřežní osobní doprava</v>
      </c>
      <c r="R279">
        <f>IF(ISNUMBER(SEARCH('1Př1'!$A$32,N279)),MAX($M$2:M278)+1,0)</f>
        <v>277</v>
      </c>
      <c r="S279" s="325" t="s">
        <v>2005</v>
      </c>
      <c r="T279" t="str">
        <f>IFERROR(VLOOKUP(ROWS($T$3:T279),$R$3:$S$992,2,0),"")</f>
        <v>Námořní a pobřežní osobní doprava</v>
      </c>
      <c r="U279">
        <f>IF(ISNUMBER(SEARCH('1Př1'!$A$33,N279)),MAX($M$2:M278)+1,0)</f>
        <v>277</v>
      </c>
      <c r="V279" s="325" t="s">
        <v>2005</v>
      </c>
      <c r="W279" t="str">
        <f>IFERROR(VLOOKUP(ROWS($W$3:W279),$U$3:$V$992,2,0),"")</f>
        <v>Námořní a pobřežní osobní doprava</v>
      </c>
      <c r="X279">
        <f>IF(ISNUMBER(SEARCH('1Př1'!$A$34,N279)),MAX($M$2:M278)+1,0)</f>
        <v>277</v>
      </c>
      <c r="Y279" s="325" t="s">
        <v>2005</v>
      </c>
      <c r="Z279" t="str">
        <f>IFERROR(VLOOKUP(ROWS($Z$3:Z279),$X$3:$Y$992,2,0),"")</f>
        <v>Námořní a pobřežní osobní doprava</v>
      </c>
    </row>
    <row r="280" spans="13:26">
      <c r="M280" s="324">
        <f>IF(ISNUMBER(SEARCH(ZAKL_DATA!$B$29,N280)),MAX($M$2:M279)+1,0)</f>
        <v>278</v>
      </c>
      <c r="N280" s="325" t="s">
        <v>2007</v>
      </c>
      <c r="O280" s="340" t="s">
        <v>2008</v>
      </c>
      <c r="Q280" s="327" t="str">
        <f>IFERROR(VLOOKUP(ROWS($Q$3:Q280),$M$3:$N$992,2,0),"")</f>
        <v>Námořní a pobřežní nákladní doprava</v>
      </c>
      <c r="R280">
        <f>IF(ISNUMBER(SEARCH('1Př1'!$A$32,N280)),MAX($M$2:M279)+1,0)</f>
        <v>278</v>
      </c>
      <c r="S280" s="325" t="s">
        <v>2007</v>
      </c>
      <c r="T280" t="str">
        <f>IFERROR(VLOOKUP(ROWS($T$3:T280),$R$3:$S$992,2,0),"")</f>
        <v>Námořní a pobřežní nákladní doprava</v>
      </c>
      <c r="U280">
        <f>IF(ISNUMBER(SEARCH('1Př1'!$A$33,N280)),MAX($M$2:M279)+1,0)</f>
        <v>278</v>
      </c>
      <c r="V280" s="325" t="s">
        <v>2007</v>
      </c>
      <c r="W280" t="str">
        <f>IFERROR(VLOOKUP(ROWS($W$3:W280),$U$3:$V$992,2,0),"")</f>
        <v>Námořní a pobřežní nákladní doprava</v>
      </c>
      <c r="X280">
        <f>IF(ISNUMBER(SEARCH('1Př1'!$A$34,N280)),MAX($M$2:M279)+1,0)</f>
        <v>278</v>
      </c>
      <c r="Y280" s="325" t="s">
        <v>2007</v>
      </c>
      <c r="Z280" t="str">
        <f>IFERROR(VLOOKUP(ROWS($Z$3:Z280),$X$3:$Y$992,2,0),"")</f>
        <v>Námořní a pobřežní nákladní doprava</v>
      </c>
    </row>
    <row r="281" spans="13:26">
      <c r="M281" s="324">
        <f>IF(ISNUMBER(SEARCH(ZAKL_DATA!$B$29,N281)),MAX($M$2:M280)+1,0)</f>
        <v>279</v>
      </c>
      <c r="N281" s="325" t="s">
        <v>2009</v>
      </c>
      <c r="O281" s="340" t="s">
        <v>2010</v>
      </c>
      <c r="Q281" s="327" t="str">
        <f>IFERROR(VLOOKUP(ROWS($Q$3:Q281),$M$3:$N$992,2,0),"")</f>
        <v>Vnitrozemská vodní osobní doprava</v>
      </c>
      <c r="R281">
        <f>IF(ISNUMBER(SEARCH('1Př1'!$A$32,N281)),MAX($M$2:M280)+1,0)</f>
        <v>279</v>
      </c>
      <c r="S281" s="325" t="s">
        <v>2009</v>
      </c>
      <c r="T281" t="str">
        <f>IFERROR(VLOOKUP(ROWS($T$3:T281),$R$3:$S$992,2,0),"")</f>
        <v>Vnitrozemská vodní osobní doprava</v>
      </c>
      <c r="U281">
        <f>IF(ISNUMBER(SEARCH('1Př1'!$A$33,N281)),MAX($M$2:M280)+1,0)</f>
        <v>279</v>
      </c>
      <c r="V281" s="325" t="s">
        <v>2009</v>
      </c>
      <c r="W281" t="str">
        <f>IFERROR(VLOOKUP(ROWS($W$3:W281),$U$3:$V$992,2,0),"")</f>
        <v>Vnitrozemská vodní osobní doprava</v>
      </c>
      <c r="X281">
        <f>IF(ISNUMBER(SEARCH('1Př1'!$A$34,N281)),MAX($M$2:M280)+1,0)</f>
        <v>279</v>
      </c>
      <c r="Y281" s="325" t="s">
        <v>2009</v>
      </c>
      <c r="Z281" t="str">
        <f>IFERROR(VLOOKUP(ROWS($Z$3:Z281),$X$3:$Y$992,2,0),"")</f>
        <v>Vnitrozemská vodní osobní doprava</v>
      </c>
    </row>
    <row r="282" spans="13:26">
      <c r="M282" s="324">
        <f>IF(ISNUMBER(SEARCH(ZAKL_DATA!$B$29,N282)),MAX($M$2:M281)+1,0)</f>
        <v>280</v>
      </c>
      <c r="N282" s="325" t="s">
        <v>2011</v>
      </c>
      <c r="O282" s="340" t="s">
        <v>2012</v>
      </c>
      <c r="Q282" s="327" t="str">
        <f>IFERROR(VLOOKUP(ROWS($Q$3:Q282),$M$3:$N$992,2,0),"")</f>
        <v>Vnitrozemská vodní nákladní doprava</v>
      </c>
      <c r="R282">
        <f>IF(ISNUMBER(SEARCH('1Př1'!$A$32,N282)),MAX($M$2:M281)+1,0)</f>
        <v>280</v>
      </c>
      <c r="S282" s="325" t="s">
        <v>2011</v>
      </c>
      <c r="T282" t="str">
        <f>IFERROR(VLOOKUP(ROWS($T$3:T282),$R$3:$S$992,2,0),"")</f>
        <v>Vnitrozemská vodní nákladní doprava</v>
      </c>
      <c r="U282">
        <f>IF(ISNUMBER(SEARCH('1Př1'!$A$33,N282)),MAX($M$2:M281)+1,0)</f>
        <v>280</v>
      </c>
      <c r="V282" s="325" t="s">
        <v>2011</v>
      </c>
      <c r="W282" t="str">
        <f>IFERROR(VLOOKUP(ROWS($W$3:W282),$U$3:$V$992,2,0),"")</f>
        <v>Vnitrozemská vodní nákladní doprava</v>
      </c>
      <c r="X282">
        <f>IF(ISNUMBER(SEARCH('1Př1'!$A$34,N282)),MAX($M$2:M281)+1,0)</f>
        <v>280</v>
      </c>
      <c r="Y282" s="325" t="s">
        <v>2011</v>
      </c>
      <c r="Z282" t="str">
        <f>IFERROR(VLOOKUP(ROWS($Z$3:Z282),$X$3:$Y$992,2,0),"")</f>
        <v>Vnitrozemská vodní nákladní doprava</v>
      </c>
    </row>
    <row r="283" spans="13:26">
      <c r="M283" s="324">
        <f>IF(ISNUMBER(SEARCH(ZAKL_DATA!$B$29,N283)),MAX($M$2:M282)+1,0)</f>
        <v>281</v>
      </c>
      <c r="N283" s="325" t="s">
        <v>2013</v>
      </c>
      <c r="O283" s="340" t="s">
        <v>2014</v>
      </c>
      <c r="Q283" s="327" t="str">
        <f>IFERROR(VLOOKUP(ROWS($Q$3:Q283),$M$3:$N$992,2,0),"")</f>
        <v>Letecká osobní doprava</v>
      </c>
      <c r="R283">
        <f>IF(ISNUMBER(SEARCH('1Př1'!$A$32,N283)),MAX($M$2:M282)+1,0)</f>
        <v>281</v>
      </c>
      <c r="S283" s="325" t="s">
        <v>2013</v>
      </c>
      <c r="T283" t="str">
        <f>IFERROR(VLOOKUP(ROWS($T$3:T283),$R$3:$S$992,2,0),"")</f>
        <v>Letecká osobní doprava</v>
      </c>
      <c r="U283">
        <f>IF(ISNUMBER(SEARCH('1Př1'!$A$33,N283)),MAX($M$2:M282)+1,0)</f>
        <v>281</v>
      </c>
      <c r="V283" s="325" t="s">
        <v>2013</v>
      </c>
      <c r="W283" t="str">
        <f>IFERROR(VLOOKUP(ROWS($W$3:W283),$U$3:$V$992,2,0),"")</f>
        <v>Letecká osobní doprava</v>
      </c>
      <c r="X283">
        <f>IF(ISNUMBER(SEARCH('1Př1'!$A$34,N283)),MAX($M$2:M282)+1,0)</f>
        <v>281</v>
      </c>
      <c r="Y283" s="325" t="s">
        <v>2013</v>
      </c>
      <c r="Z283" t="str">
        <f>IFERROR(VLOOKUP(ROWS($Z$3:Z283),$X$3:$Y$992,2,0),"")</f>
        <v>Letecká osobní doprava</v>
      </c>
    </row>
    <row r="284" spans="13:26">
      <c r="M284" s="324">
        <f>IF(ISNUMBER(SEARCH(ZAKL_DATA!$B$29,N284)),MAX($M$2:M283)+1,0)</f>
        <v>282</v>
      </c>
      <c r="N284" s="325" t="s">
        <v>2015</v>
      </c>
      <c r="O284" s="340" t="s">
        <v>2016</v>
      </c>
      <c r="Q284" s="327" t="str">
        <f>IFERROR(VLOOKUP(ROWS($Q$3:Q284),$M$3:$N$992,2,0),"")</f>
        <v>Letecká nákladní doprava a kosmická doprava</v>
      </c>
      <c r="R284">
        <f>IF(ISNUMBER(SEARCH('1Př1'!$A$32,N284)),MAX($M$2:M283)+1,0)</f>
        <v>282</v>
      </c>
      <c r="S284" s="325" t="s">
        <v>2015</v>
      </c>
      <c r="T284" t="str">
        <f>IFERROR(VLOOKUP(ROWS($T$3:T284),$R$3:$S$992,2,0),"")</f>
        <v>Letecká nákladní doprava a kosmická doprava</v>
      </c>
      <c r="U284">
        <f>IF(ISNUMBER(SEARCH('1Př1'!$A$33,N284)),MAX($M$2:M283)+1,0)</f>
        <v>282</v>
      </c>
      <c r="V284" s="325" t="s">
        <v>2015</v>
      </c>
      <c r="W284" t="str">
        <f>IFERROR(VLOOKUP(ROWS($W$3:W284),$U$3:$V$992,2,0),"")</f>
        <v>Letecká nákladní doprava a kosmická doprava</v>
      </c>
      <c r="X284">
        <f>IF(ISNUMBER(SEARCH('1Př1'!$A$34,N284)),MAX($M$2:M283)+1,0)</f>
        <v>282</v>
      </c>
      <c r="Y284" s="325" t="s">
        <v>2015</v>
      </c>
      <c r="Z284" t="str">
        <f>IFERROR(VLOOKUP(ROWS($Z$3:Z284),$X$3:$Y$992,2,0),"")</f>
        <v>Letecká nákladní doprava a kosmická doprava</v>
      </c>
    </row>
    <row r="285" spans="13:26">
      <c r="M285" s="324">
        <f>IF(ISNUMBER(SEARCH(ZAKL_DATA!$B$29,N285)),MAX($M$2:M284)+1,0)</f>
        <v>283</v>
      </c>
      <c r="N285" s="325" t="s">
        <v>2017</v>
      </c>
      <c r="O285" s="340" t="s">
        <v>2018</v>
      </c>
      <c r="Q285" s="327" t="str">
        <f>IFERROR(VLOOKUP(ROWS($Q$3:Q285),$M$3:$N$992,2,0),"")</f>
        <v>Skladování</v>
      </c>
      <c r="R285">
        <f>IF(ISNUMBER(SEARCH('1Př1'!$A$32,N285)),MAX($M$2:M284)+1,0)</f>
        <v>283</v>
      </c>
      <c r="S285" s="325" t="s">
        <v>2017</v>
      </c>
      <c r="T285" t="str">
        <f>IFERROR(VLOOKUP(ROWS($T$3:T285),$R$3:$S$992,2,0),"")</f>
        <v>Skladování</v>
      </c>
      <c r="U285">
        <f>IF(ISNUMBER(SEARCH('1Př1'!$A$33,N285)),MAX($M$2:M284)+1,0)</f>
        <v>283</v>
      </c>
      <c r="V285" s="325" t="s">
        <v>2017</v>
      </c>
      <c r="W285" t="str">
        <f>IFERROR(VLOOKUP(ROWS($W$3:W285),$U$3:$V$992,2,0),"")</f>
        <v>Skladování</v>
      </c>
      <c r="X285">
        <f>IF(ISNUMBER(SEARCH('1Př1'!$A$34,N285)),MAX($M$2:M284)+1,0)</f>
        <v>283</v>
      </c>
      <c r="Y285" s="325" t="s">
        <v>2017</v>
      </c>
      <c r="Z285" t="str">
        <f>IFERROR(VLOOKUP(ROWS($Z$3:Z285),$X$3:$Y$992,2,0),"")</f>
        <v>Skladování</v>
      </c>
    </row>
    <row r="286" spans="13:26">
      <c r="M286" s="324">
        <f>IF(ISNUMBER(SEARCH(ZAKL_DATA!$B$29,N286)),MAX($M$2:M285)+1,0)</f>
        <v>284</v>
      </c>
      <c r="N286" s="325" t="s">
        <v>2019</v>
      </c>
      <c r="O286" s="340" t="s">
        <v>2020</v>
      </c>
      <c r="Q286" s="327" t="str">
        <f>IFERROR(VLOOKUP(ROWS($Q$3:Q286),$M$3:$N$992,2,0),"")</f>
        <v>Vedlejší činnosti v dopravě</v>
      </c>
      <c r="R286">
        <f>IF(ISNUMBER(SEARCH('1Př1'!$A$32,N286)),MAX($M$2:M285)+1,0)</f>
        <v>284</v>
      </c>
      <c r="S286" s="325" t="s">
        <v>2019</v>
      </c>
      <c r="T286" t="str">
        <f>IFERROR(VLOOKUP(ROWS($T$3:T286),$R$3:$S$992,2,0),"")</f>
        <v>Vedlejší činnosti v dopravě</v>
      </c>
      <c r="U286">
        <f>IF(ISNUMBER(SEARCH('1Př1'!$A$33,N286)),MAX($M$2:M285)+1,0)</f>
        <v>284</v>
      </c>
      <c r="V286" s="325" t="s">
        <v>2019</v>
      </c>
      <c r="W286" t="str">
        <f>IFERROR(VLOOKUP(ROWS($W$3:W286),$U$3:$V$992,2,0),"")</f>
        <v>Vedlejší činnosti v dopravě</v>
      </c>
      <c r="X286">
        <f>IF(ISNUMBER(SEARCH('1Př1'!$A$34,N286)),MAX($M$2:M285)+1,0)</f>
        <v>284</v>
      </c>
      <c r="Y286" s="325" t="s">
        <v>2019</v>
      </c>
      <c r="Z286" t="str">
        <f>IFERROR(VLOOKUP(ROWS($Z$3:Z286),$X$3:$Y$992,2,0),"")</f>
        <v>Vedlejší činnosti v dopravě</v>
      </c>
    </row>
    <row r="287" spans="13:26">
      <c r="M287" s="324">
        <f>IF(ISNUMBER(SEARCH(ZAKL_DATA!$B$29,N287)),MAX($M$2:M286)+1,0)</f>
        <v>285</v>
      </c>
      <c r="N287" s="325" t="s">
        <v>2021</v>
      </c>
      <c r="O287" s="340" t="s">
        <v>2022</v>
      </c>
      <c r="Q287" s="327" t="str">
        <f>IFERROR(VLOOKUP(ROWS($Q$3:Q287),$M$3:$N$992,2,0),"")</f>
        <v>Základní poštovní služby poskytované na základě poštovní licence</v>
      </c>
      <c r="R287">
        <f>IF(ISNUMBER(SEARCH('1Př1'!$A$32,N287)),MAX($M$2:M286)+1,0)</f>
        <v>285</v>
      </c>
      <c r="S287" s="325" t="s">
        <v>2021</v>
      </c>
      <c r="T287" t="str">
        <f>IFERROR(VLOOKUP(ROWS($T$3:T287),$R$3:$S$992,2,0),"")</f>
        <v>Základní poštovní služby poskytované na základě poštovní licence</v>
      </c>
      <c r="U287">
        <f>IF(ISNUMBER(SEARCH('1Př1'!$A$33,N287)),MAX($M$2:M286)+1,0)</f>
        <v>285</v>
      </c>
      <c r="V287" s="325" t="s">
        <v>2021</v>
      </c>
      <c r="W287" t="str">
        <f>IFERROR(VLOOKUP(ROWS($W$3:W287),$U$3:$V$992,2,0),"")</f>
        <v>Základní poštovní služby poskytované na základě poštovní licence</v>
      </c>
      <c r="X287">
        <f>IF(ISNUMBER(SEARCH('1Př1'!$A$34,N287)),MAX($M$2:M286)+1,0)</f>
        <v>285</v>
      </c>
      <c r="Y287" s="325" t="s">
        <v>2021</v>
      </c>
      <c r="Z287" t="str">
        <f>IFERROR(VLOOKUP(ROWS($Z$3:Z287),$X$3:$Y$992,2,0),"")</f>
        <v>Základní poštovní služby poskytované na základě poštovní licence</v>
      </c>
    </row>
    <row r="288" spans="13:26">
      <c r="M288" s="324">
        <f>IF(ISNUMBER(SEARCH(ZAKL_DATA!$B$29,N288)),MAX($M$2:M287)+1,0)</f>
        <v>286</v>
      </c>
      <c r="N288" s="325" t="s">
        <v>2023</v>
      </c>
      <c r="O288" s="340" t="s">
        <v>2024</v>
      </c>
      <c r="Q288" s="327" t="str">
        <f>IFERROR(VLOOKUP(ROWS($Q$3:Q288),$M$3:$N$992,2,0),"")</f>
        <v>Ostatní poštovní a kurýrní činnosti</v>
      </c>
      <c r="R288">
        <f>IF(ISNUMBER(SEARCH('1Př1'!$A$32,N288)),MAX($M$2:M287)+1,0)</f>
        <v>286</v>
      </c>
      <c r="S288" s="325" t="s">
        <v>2023</v>
      </c>
      <c r="T288" t="str">
        <f>IFERROR(VLOOKUP(ROWS($T$3:T288),$R$3:$S$992,2,0),"")</f>
        <v>Ostatní poštovní a kurýrní činnosti</v>
      </c>
      <c r="U288">
        <f>IF(ISNUMBER(SEARCH('1Př1'!$A$33,N288)),MAX($M$2:M287)+1,0)</f>
        <v>286</v>
      </c>
      <c r="V288" s="325" t="s">
        <v>2023</v>
      </c>
      <c r="W288" t="str">
        <f>IFERROR(VLOOKUP(ROWS($W$3:W288),$U$3:$V$992,2,0),"")</f>
        <v>Ostatní poštovní a kurýrní činnosti</v>
      </c>
      <c r="X288">
        <f>IF(ISNUMBER(SEARCH('1Př1'!$A$34,N288)),MAX($M$2:M287)+1,0)</f>
        <v>286</v>
      </c>
      <c r="Y288" s="325" t="s">
        <v>2023</v>
      </c>
      <c r="Z288" t="str">
        <f>IFERROR(VLOOKUP(ROWS($Z$3:Z288),$X$3:$Y$992,2,0),"")</f>
        <v>Ostatní poštovní a kurýrní činnosti</v>
      </c>
    </row>
    <row r="289" spans="13:26">
      <c r="M289" s="324">
        <f>IF(ISNUMBER(SEARCH(ZAKL_DATA!$B$29,N289)),MAX($M$2:M288)+1,0)</f>
        <v>287</v>
      </c>
      <c r="N289" s="325" t="s">
        <v>2025</v>
      </c>
      <c r="O289" s="340" t="s">
        <v>2026</v>
      </c>
      <c r="Q289" s="327" t="str">
        <f>IFERROR(VLOOKUP(ROWS($Q$3:Q289),$M$3:$N$992,2,0),"")</f>
        <v>Ubytování v hotelích a podobných ubytovacích zařízeních</v>
      </c>
      <c r="R289">
        <f>IF(ISNUMBER(SEARCH('1Př1'!$A$32,N289)),MAX($M$2:M288)+1,0)</f>
        <v>287</v>
      </c>
      <c r="S289" s="325" t="s">
        <v>2025</v>
      </c>
      <c r="T289" t="str">
        <f>IFERROR(VLOOKUP(ROWS($T$3:T289),$R$3:$S$992,2,0),"")</f>
        <v>Ubytování v hotelích a podobných ubytovacích zařízeních</v>
      </c>
      <c r="U289">
        <f>IF(ISNUMBER(SEARCH('1Př1'!$A$33,N289)),MAX($M$2:M288)+1,0)</f>
        <v>287</v>
      </c>
      <c r="V289" s="325" t="s">
        <v>2025</v>
      </c>
      <c r="W289" t="str">
        <f>IFERROR(VLOOKUP(ROWS($W$3:W289),$U$3:$V$992,2,0),"")</f>
        <v>Ubytování v hotelích a podobných ubytovacích zařízeních</v>
      </c>
      <c r="X289">
        <f>IF(ISNUMBER(SEARCH('1Př1'!$A$34,N289)),MAX($M$2:M288)+1,0)</f>
        <v>287</v>
      </c>
      <c r="Y289" s="325" t="s">
        <v>2025</v>
      </c>
      <c r="Z289" t="str">
        <f>IFERROR(VLOOKUP(ROWS($Z$3:Z289),$X$3:$Y$992,2,0),"")</f>
        <v>Ubytování v hotelích a podobných ubytovacích zařízeních</v>
      </c>
    </row>
    <row r="290" spans="13:26">
      <c r="M290" s="324">
        <f>IF(ISNUMBER(SEARCH(ZAKL_DATA!$B$29,N290)),MAX($M$2:M289)+1,0)</f>
        <v>288</v>
      </c>
      <c r="N290" s="325" t="s">
        <v>2027</v>
      </c>
      <c r="O290" s="340" t="s">
        <v>2028</v>
      </c>
      <c r="Q290" s="327" t="str">
        <f>IFERROR(VLOOKUP(ROWS($Q$3:Q290),$M$3:$N$992,2,0),"")</f>
        <v>Rekreační a ostatní krátkodobé ubytování</v>
      </c>
      <c r="R290">
        <f>IF(ISNUMBER(SEARCH('1Př1'!$A$32,N290)),MAX($M$2:M289)+1,0)</f>
        <v>288</v>
      </c>
      <c r="S290" s="325" t="s">
        <v>2027</v>
      </c>
      <c r="T290" t="str">
        <f>IFERROR(VLOOKUP(ROWS($T$3:T290),$R$3:$S$992,2,0),"")</f>
        <v>Rekreační a ostatní krátkodobé ubytování</v>
      </c>
      <c r="U290">
        <f>IF(ISNUMBER(SEARCH('1Př1'!$A$33,N290)),MAX($M$2:M289)+1,0)</f>
        <v>288</v>
      </c>
      <c r="V290" s="325" t="s">
        <v>2027</v>
      </c>
      <c r="W290" t="str">
        <f>IFERROR(VLOOKUP(ROWS($W$3:W290),$U$3:$V$992,2,0),"")</f>
        <v>Rekreační a ostatní krátkodobé ubytování</v>
      </c>
      <c r="X290">
        <f>IF(ISNUMBER(SEARCH('1Př1'!$A$34,N290)),MAX($M$2:M289)+1,0)</f>
        <v>288</v>
      </c>
      <c r="Y290" s="325" t="s">
        <v>2027</v>
      </c>
      <c r="Z290" t="str">
        <f>IFERROR(VLOOKUP(ROWS($Z$3:Z290),$X$3:$Y$992,2,0),"")</f>
        <v>Rekreační a ostatní krátkodobé ubytování</v>
      </c>
    </row>
    <row r="291" spans="13:26">
      <c r="M291" s="324">
        <f>IF(ISNUMBER(SEARCH(ZAKL_DATA!$B$29,N291)),MAX($M$2:M290)+1,0)</f>
        <v>289</v>
      </c>
      <c r="N291" s="325" t="s">
        <v>2029</v>
      </c>
      <c r="O291" s="340" t="s">
        <v>2030</v>
      </c>
      <c r="Q291" s="327" t="str">
        <f>IFERROR(VLOOKUP(ROWS($Q$3:Q291),$M$3:$N$992,2,0),"")</f>
        <v>Kempy a tábořiště</v>
      </c>
      <c r="R291">
        <f>IF(ISNUMBER(SEARCH('1Př1'!$A$32,N291)),MAX($M$2:M290)+1,0)</f>
        <v>289</v>
      </c>
      <c r="S291" s="325" t="s">
        <v>2029</v>
      </c>
      <c r="T291" t="str">
        <f>IFERROR(VLOOKUP(ROWS($T$3:T291),$R$3:$S$992,2,0),"")</f>
        <v>Kempy a tábořiště</v>
      </c>
      <c r="U291">
        <f>IF(ISNUMBER(SEARCH('1Př1'!$A$33,N291)),MAX($M$2:M290)+1,0)</f>
        <v>289</v>
      </c>
      <c r="V291" s="325" t="s">
        <v>2029</v>
      </c>
      <c r="W291" t="str">
        <f>IFERROR(VLOOKUP(ROWS($W$3:W291),$U$3:$V$992,2,0),"")</f>
        <v>Kempy a tábořiště</v>
      </c>
      <c r="X291">
        <f>IF(ISNUMBER(SEARCH('1Př1'!$A$34,N291)),MAX($M$2:M290)+1,0)</f>
        <v>289</v>
      </c>
      <c r="Y291" s="325" t="s">
        <v>2029</v>
      </c>
      <c r="Z291" t="str">
        <f>IFERROR(VLOOKUP(ROWS($Z$3:Z291),$X$3:$Y$992,2,0),"")</f>
        <v>Kempy a tábořiště</v>
      </c>
    </row>
    <row r="292" spans="13:26">
      <c r="M292" s="324">
        <f>IF(ISNUMBER(SEARCH(ZAKL_DATA!$B$29,N292)),MAX($M$2:M291)+1,0)</f>
        <v>290</v>
      </c>
      <c r="N292" s="325" t="s">
        <v>2031</v>
      </c>
      <c r="O292" s="340" t="s">
        <v>2032</v>
      </c>
      <c r="Q292" s="327" t="str">
        <f>IFERROR(VLOOKUP(ROWS($Q$3:Q292),$M$3:$N$992,2,0),"")</f>
        <v>Ostatní ubytování</v>
      </c>
      <c r="R292">
        <f>IF(ISNUMBER(SEARCH('1Př1'!$A$32,N292)),MAX($M$2:M291)+1,0)</f>
        <v>290</v>
      </c>
      <c r="S292" s="325" t="s">
        <v>2031</v>
      </c>
      <c r="T292" t="str">
        <f>IFERROR(VLOOKUP(ROWS($T$3:T292),$R$3:$S$992,2,0),"")</f>
        <v>Ostatní ubytování</v>
      </c>
      <c r="U292">
        <f>IF(ISNUMBER(SEARCH('1Př1'!$A$33,N292)),MAX($M$2:M291)+1,0)</f>
        <v>290</v>
      </c>
      <c r="V292" s="325" t="s">
        <v>2031</v>
      </c>
      <c r="W292" t="str">
        <f>IFERROR(VLOOKUP(ROWS($W$3:W292),$U$3:$V$992,2,0),"")</f>
        <v>Ostatní ubytování</v>
      </c>
      <c r="X292">
        <f>IF(ISNUMBER(SEARCH('1Př1'!$A$34,N292)),MAX($M$2:M291)+1,0)</f>
        <v>290</v>
      </c>
      <c r="Y292" s="325" t="s">
        <v>2031</v>
      </c>
      <c r="Z292" t="str">
        <f>IFERROR(VLOOKUP(ROWS($Z$3:Z292),$X$3:$Y$992,2,0),"")</f>
        <v>Ostatní ubytování</v>
      </c>
    </row>
    <row r="293" spans="13:26">
      <c r="M293" s="324">
        <f>IF(ISNUMBER(SEARCH(ZAKL_DATA!$B$29,N293)),MAX($M$2:M292)+1,0)</f>
        <v>291</v>
      </c>
      <c r="N293" s="325" t="s">
        <v>2033</v>
      </c>
      <c r="O293" s="340" t="s">
        <v>2034</v>
      </c>
      <c r="Q293" s="327" t="str">
        <f>IFERROR(VLOOKUP(ROWS($Q$3:Q293),$M$3:$N$992,2,0),"")</f>
        <v>Stravování v restauracích, u stánků a v mobilních zařízeních</v>
      </c>
      <c r="R293">
        <f>IF(ISNUMBER(SEARCH('1Př1'!$A$32,N293)),MAX($M$2:M292)+1,0)</f>
        <v>291</v>
      </c>
      <c r="S293" s="325" t="s">
        <v>2033</v>
      </c>
      <c r="T293" t="str">
        <f>IFERROR(VLOOKUP(ROWS($T$3:T293),$R$3:$S$992,2,0),"")</f>
        <v>Stravování v restauracích, u stánků a v mobilních zařízeních</v>
      </c>
      <c r="U293">
        <f>IF(ISNUMBER(SEARCH('1Př1'!$A$33,N293)),MAX($M$2:M292)+1,0)</f>
        <v>291</v>
      </c>
      <c r="V293" s="325" t="s">
        <v>2033</v>
      </c>
      <c r="W293" t="str">
        <f>IFERROR(VLOOKUP(ROWS($W$3:W293),$U$3:$V$992,2,0),"")</f>
        <v>Stravování v restauracích, u stánků a v mobilních zařízeních</v>
      </c>
      <c r="X293">
        <f>IF(ISNUMBER(SEARCH('1Př1'!$A$34,N293)),MAX($M$2:M292)+1,0)</f>
        <v>291</v>
      </c>
      <c r="Y293" s="325" t="s">
        <v>2033</v>
      </c>
      <c r="Z293" t="str">
        <f>IFERROR(VLOOKUP(ROWS($Z$3:Z293),$X$3:$Y$992,2,0),"")</f>
        <v>Stravování v restauracích, u stánků a v mobilních zařízeních</v>
      </c>
    </row>
    <row r="294" spans="13:26">
      <c r="M294" s="324">
        <f>IF(ISNUMBER(SEARCH(ZAKL_DATA!$B$29,N294)),MAX($M$2:M293)+1,0)</f>
        <v>292</v>
      </c>
      <c r="N294" s="325" t="s">
        <v>2035</v>
      </c>
      <c r="O294" s="340" t="s">
        <v>2036</v>
      </c>
      <c r="Q294" s="327" t="str">
        <f>IFERROR(VLOOKUP(ROWS($Q$3:Q294),$M$3:$N$992,2,0),"")</f>
        <v>Poskytování cateringových a ostatních stravovacích služeb</v>
      </c>
      <c r="R294">
        <f>IF(ISNUMBER(SEARCH('1Př1'!$A$32,N294)),MAX($M$2:M293)+1,0)</f>
        <v>292</v>
      </c>
      <c r="S294" s="325" t="s">
        <v>2035</v>
      </c>
      <c r="T294" t="str">
        <f>IFERROR(VLOOKUP(ROWS($T$3:T294),$R$3:$S$992,2,0),"")</f>
        <v>Poskytování cateringových a ostatních stravovacích služeb</v>
      </c>
      <c r="U294">
        <f>IF(ISNUMBER(SEARCH('1Př1'!$A$33,N294)),MAX($M$2:M293)+1,0)</f>
        <v>292</v>
      </c>
      <c r="V294" s="325" t="s">
        <v>2035</v>
      </c>
      <c r="W294" t="str">
        <f>IFERROR(VLOOKUP(ROWS($W$3:W294),$U$3:$V$992,2,0),"")</f>
        <v>Poskytování cateringových a ostatních stravovacích služeb</v>
      </c>
      <c r="X294">
        <f>IF(ISNUMBER(SEARCH('1Př1'!$A$34,N294)),MAX($M$2:M293)+1,0)</f>
        <v>292</v>
      </c>
      <c r="Y294" s="325" t="s">
        <v>2035</v>
      </c>
      <c r="Z294" t="str">
        <f>IFERROR(VLOOKUP(ROWS($Z$3:Z294),$X$3:$Y$992,2,0),"")</f>
        <v>Poskytování cateringových a ostatních stravovacích služeb</v>
      </c>
    </row>
    <row r="295" spans="13:26">
      <c r="M295" s="324">
        <f>IF(ISNUMBER(SEARCH(ZAKL_DATA!$B$29,N295)),MAX($M$2:M294)+1,0)</f>
        <v>293</v>
      </c>
      <c r="N295" s="325" t="s">
        <v>2037</v>
      </c>
      <c r="O295" s="340" t="s">
        <v>2038</v>
      </c>
      <c r="Q295" s="327" t="str">
        <f>IFERROR(VLOOKUP(ROWS($Q$3:Q295),$M$3:$N$992,2,0),"")</f>
        <v>Pohostinství</v>
      </c>
      <c r="R295">
        <f>IF(ISNUMBER(SEARCH('1Př1'!$A$32,N295)),MAX($M$2:M294)+1,0)</f>
        <v>293</v>
      </c>
      <c r="S295" s="325" t="s">
        <v>2037</v>
      </c>
      <c r="T295" t="str">
        <f>IFERROR(VLOOKUP(ROWS($T$3:T295),$R$3:$S$992,2,0),"")</f>
        <v>Pohostinství</v>
      </c>
      <c r="U295">
        <f>IF(ISNUMBER(SEARCH('1Př1'!$A$33,N295)),MAX($M$2:M294)+1,0)</f>
        <v>293</v>
      </c>
      <c r="V295" s="325" t="s">
        <v>2037</v>
      </c>
      <c r="W295" t="str">
        <f>IFERROR(VLOOKUP(ROWS($W$3:W295),$U$3:$V$992,2,0),"")</f>
        <v>Pohostinství</v>
      </c>
      <c r="X295">
        <f>IF(ISNUMBER(SEARCH('1Př1'!$A$34,N295)),MAX($M$2:M294)+1,0)</f>
        <v>293</v>
      </c>
      <c r="Y295" s="325" t="s">
        <v>2037</v>
      </c>
      <c r="Z295" t="str">
        <f>IFERROR(VLOOKUP(ROWS($Z$3:Z295),$X$3:$Y$992,2,0),"")</f>
        <v>Pohostinství</v>
      </c>
    </row>
    <row r="296" spans="13:26">
      <c r="M296" s="324">
        <f>IF(ISNUMBER(SEARCH(ZAKL_DATA!$B$29,N296)),MAX($M$2:M295)+1,0)</f>
        <v>294</v>
      </c>
      <c r="N296" s="325" t="s">
        <v>2039</v>
      </c>
      <c r="O296" s="340" t="s">
        <v>2040</v>
      </c>
      <c r="Q296" s="327" t="str">
        <f>IFERROR(VLOOKUP(ROWS($Q$3:Q296),$M$3:$N$992,2,0),"")</f>
        <v>Vydávání knih, periodických publikací a ostatní vydavatelské činnosti</v>
      </c>
      <c r="R296">
        <f>IF(ISNUMBER(SEARCH('1Př1'!$A$32,N296)),MAX($M$2:M295)+1,0)</f>
        <v>294</v>
      </c>
      <c r="S296" s="325" t="s">
        <v>2039</v>
      </c>
      <c r="T296" t="str">
        <f>IFERROR(VLOOKUP(ROWS($T$3:T296),$R$3:$S$992,2,0),"")</f>
        <v>Vydávání knih, periodických publikací a ostatní vydavatelské činnosti</v>
      </c>
      <c r="U296">
        <f>IF(ISNUMBER(SEARCH('1Př1'!$A$33,N296)),MAX($M$2:M295)+1,0)</f>
        <v>294</v>
      </c>
      <c r="V296" s="325" t="s">
        <v>2039</v>
      </c>
      <c r="W296" t="str">
        <f>IFERROR(VLOOKUP(ROWS($W$3:W296),$U$3:$V$992,2,0),"")</f>
        <v>Vydávání knih, periodických publikací a ostatní vydavatelské činnosti</v>
      </c>
      <c r="X296">
        <f>IF(ISNUMBER(SEARCH('1Př1'!$A$34,N296)),MAX($M$2:M295)+1,0)</f>
        <v>294</v>
      </c>
      <c r="Y296" s="325" t="s">
        <v>2039</v>
      </c>
      <c r="Z296" t="str">
        <f>IFERROR(VLOOKUP(ROWS($Z$3:Z296),$X$3:$Y$992,2,0),"")</f>
        <v>Vydávání knih, periodických publikací a ostatní vydavatelské činnosti</v>
      </c>
    </row>
    <row r="297" spans="13:26">
      <c r="M297" s="324">
        <f>IF(ISNUMBER(SEARCH(ZAKL_DATA!$B$29,N297)),MAX($M$2:M296)+1,0)</f>
        <v>295</v>
      </c>
      <c r="N297" s="325" t="s">
        <v>2041</v>
      </c>
      <c r="O297" s="340" t="s">
        <v>2042</v>
      </c>
      <c r="Q297" s="327" t="str">
        <f>IFERROR(VLOOKUP(ROWS($Q$3:Q297),$M$3:$N$992,2,0),"")</f>
        <v>Vydávání softwaru</v>
      </c>
      <c r="R297">
        <f>IF(ISNUMBER(SEARCH('1Př1'!$A$32,N297)),MAX($M$2:M296)+1,0)</f>
        <v>295</v>
      </c>
      <c r="S297" s="325" t="s">
        <v>2041</v>
      </c>
      <c r="T297" t="str">
        <f>IFERROR(VLOOKUP(ROWS($T$3:T297),$R$3:$S$992,2,0),"")</f>
        <v>Vydávání softwaru</v>
      </c>
      <c r="U297">
        <f>IF(ISNUMBER(SEARCH('1Př1'!$A$33,N297)),MAX($M$2:M296)+1,0)</f>
        <v>295</v>
      </c>
      <c r="V297" s="325" t="s">
        <v>2041</v>
      </c>
      <c r="W297" t="str">
        <f>IFERROR(VLOOKUP(ROWS($W$3:W297),$U$3:$V$992,2,0),"")</f>
        <v>Vydávání softwaru</v>
      </c>
      <c r="X297">
        <f>IF(ISNUMBER(SEARCH('1Př1'!$A$34,N297)),MAX($M$2:M296)+1,0)</f>
        <v>295</v>
      </c>
      <c r="Y297" s="325" t="s">
        <v>2041</v>
      </c>
      <c r="Z297" t="str">
        <f>IFERROR(VLOOKUP(ROWS($Z$3:Z297),$X$3:$Y$992,2,0),"")</f>
        <v>Vydávání softwaru</v>
      </c>
    </row>
    <row r="298" spans="13:26">
      <c r="M298" s="324">
        <f>IF(ISNUMBER(SEARCH(ZAKL_DATA!$B$29,N298)),MAX($M$2:M297)+1,0)</f>
        <v>296</v>
      </c>
      <c r="N298" s="325" t="s">
        <v>2043</v>
      </c>
      <c r="O298" s="340" t="s">
        <v>2044</v>
      </c>
      <c r="Q298" s="327" t="str">
        <f>IFERROR(VLOOKUP(ROWS($Q$3:Q298),$M$3:$N$992,2,0),"")</f>
        <v>Činnosti v oblasti filmů, videozáznamů a televizních programů</v>
      </c>
      <c r="R298">
        <f>IF(ISNUMBER(SEARCH('1Př1'!$A$32,N298)),MAX($M$2:M297)+1,0)</f>
        <v>296</v>
      </c>
      <c r="S298" s="325" t="s">
        <v>2043</v>
      </c>
      <c r="T298" t="str">
        <f>IFERROR(VLOOKUP(ROWS($T$3:T298),$R$3:$S$992,2,0),"")</f>
        <v>Činnosti v oblasti filmů, videozáznamů a televizních programů</v>
      </c>
      <c r="U298">
        <f>IF(ISNUMBER(SEARCH('1Př1'!$A$33,N298)),MAX($M$2:M297)+1,0)</f>
        <v>296</v>
      </c>
      <c r="V298" s="325" t="s">
        <v>2043</v>
      </c>
      <c r="W298" t="str">
        <f>IFERROR(VLOOKUP(ROWS($W$3:W298),$U$3:$V$992,2,0),"")</f>
        <v>Činnosti v oblasti filmů, videozáznamů a televizních programů</v>
      </c>
      <c r="X298">
        <f>IF(ISNUMBER(SEARCH('1Př1'!$A$34,N298)),MAX($M$2:M297)+1,0)</f>
        <v>296</v>
      </c>
      <c r="Y298" s="325" t="s">
        <v>2043</v>
      </c>
      <c r="Z298" t="str">
        <f>IFERROR(VLOOKUP(ROWS($Z$3:Z298),$X$3:$Y$992,2,0),"")</f>
        <v>Činnosti v oblasti filmů, videozáznamů a televizních programů</v>
      </c>
    </row>
    <row r="299" spans="13:26">
      <c r="M299" s="324">
        <f>IF(ISNUMBER(SEARCH(ZAKL_DATA!$B$29,N299)),MAX($M$2:M298)+1,0)</f>
        <v>297</v>
      </c>
      <c r="N299" s="325" t="s">
        <v>2045</v>
      </c>
      <c r="O299" s="340" t="s">
        <v>2046</v>
      </c>
      <c r="Q299" s="327" t="str">
        <f>IFERROR(VLOOKUP(ROWS($Q$3:Q299),$M$3:$N$992,2,0),"")</f>
        <v>Pořizování zvukových nahrávek a hudební vydavatelské činnosti</v>
      </c>
      <c r="R299">
        <f>IF(ISNUMBER(SEARCH('1Př1'!$A$32,N299)),MAX($M$2:M298)+1,0)</f>
        <v>297</v>
      </c>
      <c r="S299" s="325" t="s">
        <v>2045</v>
      </c>
      <c r="T299" t="str">
        <f>IFERROR(VLOOKUP(ROWS($T$3:T299),$R$3:$S$992,2,0),"")</f>
        <v>Pořizování zvukových nahrávek a hudební vydavatelské činnosti</v>
      </c>
      <c r="U299">
        <f>IF(ISNUMBER(SEARCH('1Př1'!$A$33,N299)),MAX($M$2:M298)+1,0)</f>
        <v>297</v>
      </c>
      <c r="V299" s="325" t="s">
        <v>2045</v>
      </c>
      <c r="W299" t="str">
        <f>IFERROR(VLOOKUP(ROWS($W$3:W299),$U$3:$V$992,2,0),"")</f>
        <v>Pořizování zvukových nahrávek a hudební vydavatelské činnosti</v>
      </c>
      <c r="X299">
        <f>IF(ISNUMBER(SEARCH('1Př1'!$A$34,N299)),MAX($M$2:M298)+1,0)</f>
        <v>297</v>
      </c>
      <c r="Y299" s="325" t="s">
        <v>2045</v>
      </c>
      <c r="Z299" t="str">
        <f>IFERROR(VLOOKUP(ROWS($Z$3:Z299),$X$3:$Y$992,2,0),"")</f>
        <v>Pořizování zvukových nahrávek a hudební vydavatelské činnosti</v>
      </c>
    </row>
    <row r="300" spans="13:26">
      <c r="M300" s="324">
        <f>IF(ISNUMBER(SEARCH(ZAKL_DATA!$B$29,N300)),MAX($M$2:M299)+1,0)</f>
        <v>298</v>
      </c>
      <c r="N300" s="325" t="s">
        <v>2047</v>
      </c>
      <c r="O300" s="340" t="s">
        <v>2048</v>
      </c>
      <c r="Q300" s="327" t="str">
        <f>IFERROR(VLOOKUP(ROWS($Q$3:Q300),$M$3:$N$992,2,0),"")</f>
        <v>Rozhlasové vysílání</v>
      </c>
      <c r="R300">
        <f>IF(ISNUMBER(SEARCH('1Př1'!$A$32,N300)),MAX($M$2:M299)+1,0)</f>
        <v>298</v>
      </c>
      <c r="S300" s="325" t="s">
        <v>2047</v>
      </c>
      <c r="T300" t="str">
        <f>IFERROR(VLOOKUP(ROWS($T$3:T300),$R$3:$S$992,2,0),"")</f>
        <v>Rozhlasové vysílání</v>
      </c>
      <c r="U300">
        <f>IF(ISNUMBER(SEARCH('1Př1'!$A$33,N300)),MAX($M$2:M299)+1,0)</f>
        <v>298</v>
      </c>
      <c r="V300" s="325" t="s">
        <v>2047</v>
      </c>
      <c r="W300" t="str">
        <f>IFERROR(VLOOKUP(ROWS($W$3:W300),$U$3:$V$992,2,0),"")</f>
        <v>Rozhlasové vysílání</v>
      </c>
      <c r="X300">
        <f>IF(ISNUMBER(SEARCH('1Př1'!$A$34,N300)),MAX($M$2:M299)+1,0)</f>
        <v>298</v>
      </c>
      <c r="Y300" s="325" t="s">
        <v>2047</v>
      </c>
      <c r="Z300" t="str">
        <f>IFERROR(VLOOKUP(ROWS($Z$3:Z300),$X$3:$Y$992,2,0),"")</f>
        <v>Rozhlasové vysílání</v>
      </c>
    </row>
    <row r="301" spans="13:26">
      <c r="M301" s="324">
        <f>IF(ISNUMBER(SEARCH(ZAKL_DATA!$B$29,N301)),MAX($M$2:M300)+1,0)</f>
        <v>299</v>
      </c>
      <c r="N301" s="325" t="s">
        <v>2049</v>
      </c>
      <c r="O301" s="340" t="s">
        <v>2050</v>
      </c>
      <c r="Q301" s="327" t="str">
        <f>IFERROR(VLOOKUP(ROWS($Q$3:Q301),$M$3:$N$992,2,0),"")</f>
        <v>Tvorba televizních programů a televizní vysílání</v>
      </c>
      <c r="R301">
        <f>IF(ISNUMBER(SEARCH('1Př1'!$A$32,N301)),MAX($M$2:M300)+1,0)</f>
        <v>299</v>
      </c>
      <c r="S301" s="325" t="s">
        <v>2049</v>
      </c>
      <c r="T301" t="str">
        <f>IFERROR(VLOOKUP(ROWS($T$3:T301),$R$3:$S$992,2,0),"")</f>
        <v>Tvorba televizních programů a televizní vysílání</v>
      </c>
      <c r="U301">
        <f>IF(ISNUMBER(SEARCH('1Př1'!$A$33,N301)),MAX($M$2:M300)+1,0)</f>
        <v>299</v>
      </c>
      <c r="V301" s="325" t="s">
        <v>2049</v>
      </c>
      <c r="W301" t="str">
        <f>IFERROR(VLOOKUP(ROWS($W$3:W301),$U$3:$V$992,2,0),"")</f>
        <v>Tvorba televizních programů a televizní vysílání</v>
      </c>
      <c r="X301">
        <f>IF(ISNUMBER(SEARCH('1Př1'!$A$34,N301)),MAX($M$2:M300)+1,0)</f>
        <v>299</v>
      </c>
      <c r="Y301" s="325" t="s">
        <v>2049</v>
      </c>
      <c r="Z301" t="str">
        <f>IFERROR(VLOOKUP(ROWS($Z$3:Z301),$X$3:$Y$992,2,0),"")</f>
        <v>Tvorba televizních programů a televizní vysílání</v>
      </c>
    </row>
    <row r="302" spans="13:26">
      <c r="M302" s="324">
        <f>IF(ISNUMBER(SEARCH(ZAKL_DATA!$B$29,N302)),MAX($M$2:M301)+1,0)</f>
        <v>300</v>
      </c>
      <c r="N302" s="325" t="s">
        <v>2051</v>
      </c>
      <c r="O302" s="340" t="s">
        <v>2052</v>
      </c>
      <c r="Q302" s="327" t="str">
        <f>IFERROR(VLOOKUP(ROWS($Q$3:Q302),$M$3:$N$992,2,0),"")</f>
        <v>Činnosti související s pevnou telekomunikační sítí</v>
      </c>
      <c r="R302">
        <f>IF(ISNUMBER(SEARCH('1Př1'!$A$32,N302)),MAX($M$2:M301)+1,0)</f>
        <v>300</v>
      </c>
      <c r="S302" s="325" t="s">
        <v>2051</v>
      </c>
      <c r="T302" t="str">
        <f>IFERROR(VLOOKUP(ROWS($T$3:T302),$R$3:$S$992,2,0),"")</f>
        <v>Činnosti související s pevnou telekomunikační sítí</v>
      </c>
      <c r="U302">
        <f>IF(ISNUMBER(SEARCH('1Př1'!$A$33,N302)),MAX($M$2:M301)+1,0)</f>
        <v>300</v>
      </c>
      <c r="V302" s="325" t="s">
        <v>2051</v>
      </c>
      <c r="W302" t="str">
        <f>IFERROR(VLOOKUP(ROWS($W$3:W302),$U$3:$V$992,2,0),"")</f>
        <v>Činnosti související s pevnou telekomunikační sítí</v>
      </c>
      <c r="X302">
        <f>IF(ISNUMBER(SEARCH('1Př1'!$A$34,N302)),MAX($M$2:M301)+1,0)</f>
        <v>300</v>
      </c>
      <c r="Y302" s="325" t="s">
        <v>2051</v>
      </c>
      <c r="Z302" t="str">
        <f>IFERROR(VLOOKUP(ROWS($Z$3:Z302),$X$3:$Y$992,2,0),"")</f>
        <v>Činnosti související s pevnou telekomunikační sítí</v>
      </c>
    </row>
    <row r="303" spans="13:26">
      <c r="M303" s="324">
        <f>IF(ISNUMBER(SEARCH(ZAKL_DATA!$B$29,N303)),MAX($M$2:M302)+1,0)</f>
        <v>301</v>
      </c>
      <c r="N303" s="325" t="s">
        <v>2053</v>
      </c>
      <c r="O303" s="340" t="s">
        <v>2054</v>
      </c>
      <c r="Q303" s="327" t="str">
        <f>IFERROR(VLOOKUP(ROWS($Q$3:Q303),$M$3:$N$992,2,0),"")</f>
        <v>Činnosti související s bezdrátovou telekomunikační sítí</v>
      </c>
      <c r="R303">
        <f>IF(ISNUMBER(SEARCH('1Př1'!$A$32,N303)),MAX($M$2:M302)+1,0)</f>
        <v>301</v>
      </c>
      <c r="S303" s="325" t="s">
        <v>2053</v>
      </c>
      <c r="T303" t="str">
        <f>IFERROR(VLOOKUP(ROWS($T$3:T303),$R$3:$S$992,2,0),"")</f>
        <v>Činnosti související s bezdrátovou telekomunikační sítí</v>
      </c>
      <c r="U303">
        <f>IF(ISNUMBER(SEARCH('1Př1'!$A$33,N303)),MAX($M$2:M302)+1,0)</f>
        <v>301</v>
      </c>
      <c r="V303" s="325" t="s">
        <v>2053</v>
      </c>
      <c r="W303" t="str">
        <f>IFERROR(VLOOKUP(ROWS($W$3:W303),$U$3:$V$992,2,0),"")</f>
        <v>Činnosti související s bezdrátovou telekomunikační sítí</v>
      </c>
      <c r="X303">
        <f>IF(ISNUMBER(SEARCH('1Př1'!$A$34,N303)),MAX($M$2:M302)+1,0)</f>
        <v>301</v>
      </c>
      <c r="Y303" s="325" t="s">
        <v>2053</v>
      </c>
      <c r="Z303" t="str">
        <f>IFERROR(VLOOKUP(ROWS($Z$3:Z303),$X$3:$Y$992,2,0),"")</f>
        <v>Činnosti související s bezdrátovou telekomunikační sítí</v>
      </c>
    </row>
    <row r="304" spans="13:26">
      <c r="M304" s="324">
        <f>IF(ISNUMBER(SEARCH(ZAKL_DATA!$B$29,N304)),MAX($M$2:M303)+1,0)</f>
        <v>302</v>
      </c>
      <c r="N304" s="325" t="s">
        <v>2055</v>
      </c>
      <c r="O304" s="340" t="s">
        <v>2056</v>
      </c>
      <c r="Q304" s="327" t="str">
        <f>IFERROR(VLOOKUP(ROWS($Q$3:Q304),$M$3:$N$992,2,0),"")</f>
        <v>Činnosti související se satelitní telekomunikační sítí</v>
      </c>
      <c r="R304">
        <f>IF(ISNUMBER(SEARCH('1Př1'!$A$32,N304)),MAX($M$2:M303)+1,0)</f>
        <v>302</v>
      </c>
      <c r="S304" s="325" t="s">
        <v>2055</v>
      </c>
      <c r="T304" t="str">
        <f>IFERROR(VLOOKUP(ROWS($T$3:T304),$R$3:$S$992,2,0),"")</f>
        <v>Činnosti související se satelitní telekomunikační sítí</v>
      </c>
      <c r="U304">
        <f>IF(ISNUMBER(SEARCH('1Př1'!$A$33,N304)),MAX($M$2:M303)+1,0)</f>
        <v>302</v>
      </c>
      <c r="V304" s="325" t="s">
        <v>2055</v>
      </c>
      <c r="W304" t="str">
        <f>IFERROR(VLOOKUP(ROWS($W$3:W304),$U$3:$V$992,2,0),"")</f>
        <v>Činnosti související se satelitní telekomunikační sítí</v>
      </c>
      <c r="X304">
        <f>IF(ISNUMBER(SEARCH('1Př1'!$A$34,N304)),MAX($M$2:M303)+1,0)</f>
        <v>302</v>
      </c>
      <c r="Y304" s="325" t="s">
        <v>2055</v>
      </c>
      <c r="Z304" t="str">
        <f>IFERROR(VLOOKUP(ROWS($Z$3:Z304),$X$3:$Y$992,2,0),"")</f>
        <v>Činnosti související se satelitní telekomunikační sítí</v>
      </c>
    </row>
    <row r="305" spans="13:26">
      <c r="M305" s="324">
        <f>IF(ISNUMBER(SEARCH(ZAKL_DATA!$B$29,N305)),MAX($M$2:M304)+1,0)</f>
        <v>303</v>
      </c>
      <c r="N305" s="325" t="s">
        <v>2057</v>
      </c>
      <c r="O305" s="340" t="s">
        <v>2058</v>
      </c>
      <c r="Q305" s="327" t="str">
        <f>IFERROR(VLOOKUP(ROWS($Q$3:Q305),$M$3:$N$992,2,0),"")</f>
        <v>Ostatní telekomunikační činnosti</v>
      </c>
      <c r="R305">
        <f>IF(ISNUMBER(SEARCH('1Př1'!$A$32,N305)),MAX($M$2:M304)+1,0)</f>
        <v>303</v>
      </c>
      <c r="S305" s="325" t="s">
        <v>2057</v>
      </c>
      <c r="T305" t="str">
        <f>IFERROR(VLOOKUP(ROWS($T$3:T305),$R$3:$S$992,2,0),"")</f>
        <v>Ostatní telekomunikační činnosti</v>
      </c>
      <c r="U305">
        <f>IF(ISNUMBER(SEARCH('1Př1'!$A$33,N305)),MAX($M$2:M304)+1,0)</f>
        <v>303</v>
      </c>
      <c r="V305" s="325" t="s">
        <v>2057</v>
      </c>
      <c r="W305" t="str">
        <f>IFERROR(VLOOKUP(ROWS($W$3:W305),$U$3:$V$992,2,0),"")</f>
        <v>Ostatní telekomunikační činnosti</v>
      </c>
      <c r="X305">
        <f>IF(ISNUMBER(SEARCH('1Př1'!$A$34,N305)),MAX($M$2:M304)+1,0)</f>
        <v>303</v>
      </c>
      <c r="Y305" s="325" t="s">
        <v>2057</v>
      </c>
      <c r="Z305" t="str">
        <f>IFERROR(VLOOKUP(ROWS($Z$3:Z305),$X$3:$Y$992,2,0),"")</f>
        <v>Ostatní telekomunikační činnosti</v>
      </c>
    </row>
    <row r="306" spans="13:26">
      <c r="M306" s="324">
        <f>IF(ISNUMBER(SEARCH(ZAKL_DATA!$B$29,N306)),MAX($M$2:M305)+1,0)</f>
        <v>304</v>
      </c>
      <c r="N306" s="325" t="s">
        <v>2059</v>
      </c>
      <c r="O306" s="340" t="s">
        <v>2060</v>
      </c>
      <c r="Q306" s="327" t="str">
        <f>IFERROR(VLOOKUP(ROWS($Q$3:Q306),$M$3:$N$992,2,0),"")</f>
        <v>Činnosti souvis.se zprac.dat a hostingem;činnosti souvis.s web.portály</v>
      </c>
      <c r="R306">
        <f>IF(ISNUMBER(SEARCH('1Př1'!$A$32,N306)),MAX($M$2:M305)+1,0)</f>
        <v>304</v>
      </c>
      <c r="S306" s="325" t="s">
        <v>2059</v>
      </c>
      <c r="T306" t="str">
        <f>IFERROR(VLOOKUP(ROWS($T$3:T306),$R$3:$S$992,2,0),"")</f>
        <v>Činnosti souvis.se zprac.dat a hostingem;činnosti souvis.s web.portály</v>
      </c>
      <c r="U306">
        <f>IF(ISNUMBER(SEARCH('1Př1'!$A$33,N306)),MAX($M$2:M305)+1,0)</f>
        <v>304</v>
      </c>
      <c r="V306" s="325" t="s">
        <v>2059</v>
      </c>
      <c r="W306" t="str">
        <f>IFERROR(VLOOKUP(ROWS($W$3:W306),$U$3:$V$992,2,0),"")</f>
        <v>Činnosti souvis.se zprac.dat a hostingem;činnosti souvis.s web.portály</v>
      </c>
      <c r="X306">
        <f>IF(ISNUMBER(SEARCH('1Př1'!$A$34,N306)),MAX($M$2:M305)+1,0)</f>
        <v>304</v>
      </c>
      <c r="Y306" s="325" t="s">
        <v>2059</v>
      </c>
      <c r="Z306" t="str">
        <f>IFERROR(VLOOKUP(ROWS($Z$3:Z306),$X$3:$Y$992,2,0),"")</f>
        <v>Činnosti souvis.se zprac.dat a hostingem;činnosti souvis.s web.portály</v>
      </c>
    </row>
    <row r="307" spans="13:26">
      <c r="M307" s="324">
        <f>IF(ISNUMBER(SEARCH(ZAKL_DATA!$B$29,N307)),MAX($M$2:M306)+1,0)</f>
        <v>305</v>
      </c>
      <c r="N307" s="325" t="s">
        <v>2061</v>
      </c>
      <c r="O307" s="340" t="s">
        <v>2062</v>
      </c>
      <c r="Q307" s="327" t="str">
        <f>IFERROR(VLOOKUP(ROWS($Q$3:Q307),$M$3:$N$992,2,0),"")</f>
        <v>Ostatní informační činnosti</v>
      </c>
      <c r="R307">
        <f>IF(ISNUMBER(SEARCH('1Př1'!$A$32,N307)),MAX($M$2:M306)+1,0)</f>
        <v>305</v>
      </c>
      <c r="S307" s="325" t="s">
        <v>2061</v>
      </c>
      <c r="T307" t="str">
        <f>IFERROR(VLOOKUP(ROWS($T$3:T307),$R$3:$S$992,2,0),"")</f>
        <v>Ostatní informační činnosti</v>
      </c>
      <c r="U307">
        <f>IF(ISNUMBER(SEARCH('1Př1'!$A$33,N307)),MAX($M$2:M306)+1,0)</f>
        <v>305</v>
      </c>
      <c r="V307" s="325" t="s">
        <v>2061</v>
      </c>
      <c r="W307" t="str">
        <f>IFERROR(VLOOKUP(ROWS($W$3:W307),$U$3:$V$992,2,0),"")</f>
        <v>Ostatní informační činnosti</v>
      </c>
      <c r="X307">
        <f>IF(ISNUMBER(SEARCH('1Př1'!$A$34,N307)),MAX($M$2:M306)+1,0)</f>
        <v>305</v>
      </c>
      <c r="Y307" s="325" t="s">
        <v>2061</v>
      </c>
      <c r="Z307" t="str">
        <f>IFERROR(VLOOKUP(ROWS($Z$3:Z307),$X$3:$Y$992,2,0),"")</f>
        <v>Ostatní informační činnosti</v>
      </c>
    </row>
    <row r="308" spans="13:26">
      <c r="M308" s="324">
        <f>IF(ISNUMBER(SEARCH(ZAKL_DATA!$B$29,N308)),MAX($M$2:M307)+1,0)</f>
        <v>306</v>
      </c>
      <c r="N308" s="325" t="s">
        <v>2063</v>
      </c>
      <c r="O308" s="340" t="s">
        <v>2064</v>
      </c>
      <c r="Q308" s="327" t="str">
        <f>IFERROR(VLOOKUP(ROWS($Q$3:Q308),$M$3:$N$992,2,0),"")</f>
        <v>Peněžní zprostředkování</v>
      </c>
      <c r="R308">
        <f>IF(ISNUMBER(SEARCH('1Př1'!$A$32,N308)),MAX($M$2:M307)+1,0)</f>
        <v>306</v>
      </c>
      <c r="S308" s="325" t="s">
        <v>2063</v>
      </c>
      <c r="T308" t="str">
        <f>IFERROR(VLOOKUP(ROWS($T$3:T308),$R$3:$S$992,2,0),"")</f>
        <v>Peněžní zprostředkování</v>
      </c>
      <c r="U308">
        <f>IF(ISNUMBER(SEARCH('1Př1'!$A$33,N308)),MAX($M$2:M307)+1,0)</f>
        <v>306</v>
      </c>
      <c r="V308" s="325" t="s">
        <v>2063</v>
      </c>
      <c r="W308" t="str">
        <f>IFERROR(VLOOKUP(ROWS($W$3:W308),$U$3:$V$992,2,0),"")</f>
        <v>Peněžní zprostředkování</v>
      </c>
      <c r="X308">
        <f>IF(ISNUMBER(SEARCH('1Př1'!$A$34,N308)),MAX($M$2:M307)+1,0)</f>
        <v>306</v>
      </c>
      <c r="Y308" s="325" t="s">
        <v>2063</v>
      </c>
      <c r="Z308" t="str">
        <f>IFERROR(VLOOKUP(ROWS($Z$3:Z308),$X$3:$Y$992,2,0),"")</f>
        <v>Peněžní zprostředkování</v>
      </c>
    </row>
    <row r="309" spans="13:26">
      <c r="M309" s="324">
        <f>IF(ISNUMBER(SEARCH(ZAKL_DATA!$B$29,N309)),MAX($M$2:M308)+1,0)</f>
        <v>307</v>
      </c>
      <c r="N309" s="325" t="s">
        <v>2065</v>
      </c>
      <c r="O309" s="340" t="s">
        <v>2066</v>
      </c>
      <c r="Q309" s="327" t="str">
        <f>IFERROR(VLOOKUP(ROWS($Q$3:Q309),$M$3:$N$992,2,0),"")</f>
        <v>Činnosti holdingových společností</v>
      </c>
      <c r="R309">
        <f>IF(ISNUMBER(SEARCH('1Př1'!$A$32,N309)),MAX($M$2:M308)+1,0)</f>
        <v>307</v>
      </c>
      <c r="S309" s="325" t="s">
        <v>2065</v>
      </c>
      <c r="T309" t="str">
        <f>IFERROR(VLOOKUP(ROWS($T$3:T309),$R$3:$S$992,2,0),"")</f>
        <v>Činnosti holdingových společností</v>
      </c>
      <c r="U309">
        <f>IF(ISNUMBER(SEARCH('1Př1'!$A$33,N309)),MAX($M$2:M308)+1,0)</f>
        <v>307</v>
      </c>
      <c r="V309" s="325" t="s">
        <v>2065</v>
      </c>
      <c r="W309" t="str">
        <f>IFERROR(VLOOKUP(ROWS($W$3:W309),$U$3:$V$992,2,0),"")</f>
        <v>Činnosti holdingových společností</v>
      </c>
      <c r="X309">
        <f>IF(ISNUMBER(SEARCH('1Př1'!$A$34,N309)),MAX($M$2:M308)+1,0)</f>
        <v>307</v>
      </c>
      <c r="Y309" s="325" t="s">
        <v>2065</v>
      </c>
      <c r="Z309" t="str">
        <f>IFERROR(VLOOKUP(ROWS($Z$3:Z309),$X$3:$Y$992,2,0),"")</f>
        <v>Činnosti holdingových společností</v>
      </c>
    </row>
    <row r="310" spans="13:26">
      <c r="M310" s="324">
        <f>IF(ISNUMBER(SEARCH(ZAKL_DATA!$B$29,N310)),MAX($M$2:M309)+1,0)</f>
        <v>308</v>
      </c>
      <c r="N310" s="325" t="s">
        <v>2067</v>
      </c>
      <c r="O310" s="340" t="s">
        <v>2068</v>
      </c>
      <c r="Q310" s="327" t="str">
        <f>IFERROR(VLOOKUP(ROWS($Q$3:Q310),$M$3:$N$992,2,0),"")</f>
        <v>Činnosti trustů, fondů a podobných finančních subjektů</v>
      </c>
      <c r="R310">
        <f>IF(ISNUMBER(SEARCH('1Př1'!$A$32,N310)),MAX($M$2:M309)+1,0)</f>
        <v>308</v>
      </c>
      <c r="S310" s="325" t="s">
        <v>2067</v>
      </c>
      <c r="T310" t="str">
        <f>IFERROR(VLOOKUP(ROWS($T$3:T310),$R$3:$S$992,2,0),"")</f>
        <v>Činnosti trustů, fondů a podobných finančních subjektů</v>
      </c>
      <c r="U310">
        <f>IF(ISNUMBER(SEARCH('1Př1'!$A$33,N310)),MAX($M$2:M309)+1,0)</f>
        <v>308</v>
      </c>
      <c r="V310" s="325" t="s">
        <v>2067</v>
      </c>
      <c r="W310" t="str">
        <f>IFERROR(VLOOKUP(ROWS($W$3:W310),$U$3:$V$992,2,0),"")</f>
        <v>Činnosti trustů, fondů a podobných finančních subjektů</v>
      </c>
      <c r="X310">
        <f>IF(ISNUMBER(SEARCH('1Př1'!$A$34,N310)),MAX($M$2:M309)+1,0)</f>
        <v>308</v>
      </c>
      <c r="Y310" s="325" t="s">
        <v>2067</v>
      </c>
      <c r="Z310" t="str">
        <f>IFERROR(VLOOKUP(ROWS($Z$3:Z310),$X$3:$Y$992,2,0),"")</f>
        <v>Činnosti trustů, fondů a podobných finančních subjektů</v>
      </c>
    </row>
    <row r="311" spans="13:26">
      <c r="M311" s="324">
        <f>IF(ISNUMBER(SEARCH(ZAKL_DATA!$B$29,N311)),MAX($M$2:M310)+1,0)</f>
        <v>309</v>
      </c>
      <c r="N311" s="325" t="s">
        <v>2069</v>
      </c>
      <c r="O311" s="340" t="s">
        <v>2070</v>
      </c>
      <c r="Q311" s="327" t="str">
        <f>IFERROR(VLOOKUP(ROWS($Q$3:Q311),$M$3:$N$992,2,0),"")</f>
        <v>Ostatní finanční zprostředkování</v>
      </c>
      <c r="R311">
        <f>IF(ISNUMBER(SEARCH('1Př1'!$A$32,N311)),MAX($M$2:M310)+1,0)</f>
        <v>309</v>
      </c>
      <c r="S311" s="325" t="s">
        <v>2069</v>
      </c>
      <c r="T311" t="str">
        <f>IFERROR(VLOOKUP(ROWS($T$3:T311),$R$3:$S$992,2,0),"")</f>
        <v>Ostatní finanční zprostředkování</v>
      </c>
      <c r="U311">
        <f>IF(ISNUMBER(SEARCH('1Př1'!$A$33,N311)),MAX($M$2:M310)+1,0)</f>
        <v>309</v>
      </c>
      <c r="V311" s="325" t="s">
        <v>2069</v>
      </c>
      <c r="W311" t="str">
        <f>IFERROR(VLOOKUP(ROWS($W$3:W311),$U$3:$V$992,2,0),"")</f>
        <v>Ostatní finanční zprostředkování</v>
      </c>
      <c r="X311">
        <f>IF(ISNUMBER(SEARCH('1Př1'!$A$34,N311)),MAX($M$2:M310)+1,0)</f>
        <v>309</v>
      </c>
      <c r="Y311" s="325" t="s">
        <v>2069</v>
      </c>
      <c r="Z311" t="str">
        <f>IFERROR(VLOOKUP(ROWS($Z$3:Z311),$X$3:$Y$992,2,0),"")</f>
        <v>Ostatní finanční zprostředkování</v>
      </c>
    </row>
    <row r="312" spans="13:26">
      <c r="M312" s="324">
        <f>IF(ISNUMBER(SEARCH(ZAKL_DATA!$B$29,N312)),MAX($M$2:M311)+1,0)</f>
        <v>310</v>
      </c>
      <c r="N312" s="325" t="s">
        <v>281</v>
      </c>
      <c r="O312" s="340" t="s">
        <v>2071</v>
      </c>
      <c r="Q312" s="327" t="str">
        <f>IFERROR(VLOOKUP(ROWS($Q$3:Q312),$M$3:$N$992,2,0),"")</f>
        <v>Pojištění</v>
      </c>
      <c r="R312">
        <f>IF(ISNUMBER(SEARCH('1Př1'!$A$32,N312)),MAX($M$2:M311)+1,0)</f>
        <v>310</v>
      </c>
      <c r="S312" s="325" t="s">
        <v>281</v>
      </c>
      <c r="T312" t="str">
        <f>IFERROR(VLOOKUP(ROWS($T$3:T312),$R$3:$S$992,2,0),"")</f>
        <v>Pojištění</v>
      </c>
      <c r="U312">
        <f>IF(ISNUMBER(SEARCH('1Př1'!$A$33,N312)),MAX($M$2:M311)+1,0)</f>
        <v>310</v>
      </c>
      <c r="V312" s="325" t="s">
        <v>281</v>
      </c>
      <c r="W312" t="str">
        <f>IFERROR(VLOOKUP(ROWS($W$3:W312),$U$3:$V$992,2,0),"")</f>
        <v>Pojištění</v>
      </c>
      <c r="X312">
        <f>IF(ISNUMBER(SEARCH('1Př1'!$A$34,N312)),MAX($M$2:M311)+1,0)</f>
        <v>310</v>
      </c>
      <c r="Y312" s="325" t="s">
        <v>281</v>
      </c>
      <c r="Z312" t="str">
        <f>IFERROR(VLOOKUP(ROWS($Z$3:Z312),$X$3:$Y$992,2,0),"")</f>
        <v>Pojištění</v>
      </c>
    </row>
    <row r="313" spans="13:26">
      <c r="M313" s="324">
        <f>IF(ISNUMBER(SEARCH(ZAKL_DATA!$B$29,N313)),MAX($M$2:M312)+1,0)</f>
        <v>311</v>
      </c>
      <c r="N313" s="325" t="s">
        <v>2072</v>
      </c>
      <c r="O313" s="340" t="s">
        <v>2073</v>
      </c>
      <c r="Q313" s="327" t="str">
        <f>IFERROR(VLOOKUP(ROWS($Q$3:Q313),$M$3:$N$992,2,0),"")</f>
        <v>Zajištění</v>
      </c>
      <c r="R313">
        <f>IF(ISNUMBER(SEARCH('1Př1'!$A$32,N313)),MAX($M$2:M312)+1,0)</f>
        <v>311</v>
      </c>
      <c r="S313" s="325" t="s">
        <v>2072</v>
      </c>
      <c r="T313" t="str">
        <f>IFERROR(VLOOKUP(ROWS($T$3:T313),$R$3:$S$992,2,0),"")</f>
        <v>Zajištění</v>
      </c>
      <c r="U313">
        <f>IF(ISNUMBER(SEARCH('1Př1'!$A$33,N313)),MAX($M$2:M312)+1,0)</f>
        <v>311</v>
      </c>
      <c r="V313" s="325" t="s">
        <v>2072</v>
      </c>
      <c r="W313" t="str">
        <f>IFERROR(VLOOKUP(ROWS($W$3:W313),$U$3:$V$992,2,0),"")</f>
        <v>Zajištění</v>
      </c>
      <c r="X313">
        <f>IF(ISNUMBER(SEARCH('1Př1'!$A$34,N313)),MAX($M$2:M312)+1,0)</f>
        <v>311</v>
      </c>
      <c r="Y313" s="325" t="s">
        <v>2072</v>
      </c>
      <c r="Z313" t="str">
        <f>IFERROR(VLOOKUP(ROWS($Z$3:Z313),$X$3:$Y$992,2,0),"")</f>
        <v>Zajištění</v>
      </c>
    </row>
    <row r="314" spans="13:26">
      <c r="M314" s="324">
        <f>IF(ISNUMBER(SEARCH(ZAKL_DATA!$B$29,N314)),MAX($M$2:M313)+1,0)</f>
        <v>312</v>
      </c>
      <c r="N314" s="325" t="s">
        <v>2074</v>
      </c>
      <c r="O314" s="340" t="s">
        <v>2075</v>
      </c>
      <c r="Q314" s="327" t="str">
        <f>IFERROR(VLOOKUP(ROWS($Q$3:Q314),$M$3:$N$992,2,0),"")</f>
        <v>Penzijní financování</v>
      </c>
      <c r="R314">
        <f>IF(ISNUMBER(SEARCH('1Př1'!$A$32,N314)),MAX($M$2:M313)+1,0)</f>
        <v>312</v>
      </c>
      <c r="S314" s="325" t="s">
        <v>2074</v>
      </c>
      <c r="T314" t="str">
        <f>IFERROR(VLOOKUP(ROWS($T$3:T314),$R$3:$S$992,2,0),"")</f>
        <v>Penzijní financování</v>
      </c>
      <c r="U314">
        <f>IF(ISNUMBER(SEARCH('1Př1'!$A$33,N314)),MAX($M$2:M313)+1,0)</f>
        <v>312</v>
      </c>
      <c r="V314" s="325" t="s">
        <v>2074</v>
      </c>
      <c r="W314" t="str">
        <f>IFERROR(VLOOKUP(ROWS($W$3:W314),$U$3:$V$992,2,0),"")</f>
        <v>Penzijní financování</v>
      </c>
      <c r="X314">
        <f>IF(ISNUMBER(SEARCH('1Př1'!$A$34,N314)),MAX($M$2:M313)+1,0)</f>
        <v>312</v>
      </c>
      <c r="Y314" s="325" t="s">
        <v>2074</v>
      </c>
      <c r="Z314" t="str">
        <f>IFERROR(VLOOKUP(ROWS($Z$3:Z314),$X$3:$Y$992,2,0),"")</f>
        <v>Penzijní financování</v>
      </c>
    </row>
    <row r="315" spans="13:26">
      <c r="M315" s="324">
        <f>IF(ISNUMBER(SEARCH(ZAKL_DATA!$B$29,N315)),MAX($M$2:M314)+1,0)</f>
        <v>313</v>
      </c>
      <c r="N315" s="325" t="s">
        <v>2076</v>
      </c>
      <c r="O315" s="340" t="s">
        <v>2077</v>
      </c>
      <c r="Q315" s="327" t="str">
        <f>IFERROR(VLOOKUP(ROWS($Q$3:Q315),$M$3:$N$992,2,0),"")</f>
        <v>Pomocné činnosti související s fin.zprostřed.,kromě pojišť.a penzij.fin.</v>
      </c>
      <c r="R315">
        <f>IF(ISNUMBER(SEARCH('1Př1'!$A$32,N315)),MAX($M$2:M314)+1,0)</f>
        <v>313</v>
      </c>
      <c r="S315" s="325" t="s">
        <v>2076</v>
      </c>
      <c r="T315" t="str">
        <f>IFERROR(VLOOKUP(ROWS($T$3:T315),$R$3:$S$992,2,0),"")</f>
        <v>Pomocné činnosti související s fin.zprostřed.,kromě pojišť.a penzij.fin.</v>
      </c>
      <c r="U315">
        <f>IF(ISNUMBER(SEARCH('1Př1'!$A$33,N315)),MAX($M$2:M314)+1,0)</f>
        <v>313</v>
      </c>
      <c r="V315" s="325" t="s">
        <v>2076</v>
      </c>
      <c r="W315" t="str">
        <f>IFERROR(VLOOKUP(ROWS($W$3:W315),$U$3:$V$992,2,0),"")</f>
        <v>Pomocné činnosti související s fin.zprostřed.,kromě pojišť.a penzij.fin.</v>
      </c>
      <c r="X315">
        <f>IF(ISNUMBER(SEARCH('1Př1'!$A$34,N315)),MAX($M$2:M314)+1,0)</f>
        <v>313</v>
      </c>
      <c r="Y315" s="325" t="s">
        <v>2076</v>
      </c>
      <c r="Z315" t="str">
        <f>IFERROR(VLOOKUP(ROWS($Z$3:Z315),$X$3:$Y$992,2,0),"")</f>
        <v>Pomocné činnosti související s fin.zprostřed.,kromě pojišť.a penzij.fin.</v>
      </c>
    </row>
    <row r="316" spans="13:26">
      <c r="M316" s="324">
        <f>IF(ISNUMBER(SEARCH(ZAKL_DATA!$B$29,N316)),MAX($M$2:M315)+1,0)</f>
        <v>314</v>
      </c>
      <c r="N316" s="325" t="s">
        <v>2078</v>
      </c>
      <c r="O316" s="340" t="s">
        <v>2079</v>
      </c>
      <c r="Q316" s="327" t="str">
        <f>IFERROR(VLOOKUP(ROWS($Q$3:Q316),$M$3:$N$992,2,0),"")</f>
        <v>Pomocné činnosti související s pojišťovnictvím a penzijním financováním</v>
      </c>
      <c r="R316">
        <f>IF(ISNUMBER(SEARCH('1Př1'!$A$32,N316)),MAX($M$2:M315)+1,0)</f>
        <v>314</v>
      </c>
      <c r="S316" s="325" t="s">
        <v>2078</v>
      </c>
      <c r="T316" t="str">
        <f>IFERROR(VLOOKUP(ROWS($T$3:T316),$R$3:$S$992,2,0),"")</f>
        <v>Pomocné činnosti související s pojišťovnictvím a penzijním financováním</v>
      </c>
      <c r="U316">
        <f>IF(ISNUMBER(SEARCH('1Př1'!$A$33,N316)),MAX($M$2:M315)+1,0)</f>
        <v>314</v>
      </c>
      <c r="V316" s="325" t="s">
        <v>2078</v>
      </c>
      <c r="W316" t="str">
        <f>IFERROR(VLOOKUP(ROWS($W$3:W316),$U$3:$V$992,2,0),"")</f>
        <v>Pomocné činnosti související s pojišťovnictvím a penzijním financováním</v>
      </c>
      <c r="X316">
        <f>IF(ISNUMBER(SEARCH('1Př1'!$A$34,N316)),MAX($M$2:M315)+1,0)</f>
        <v>314</v>
      </c>
      <c r="Y316" s="325" t="s">
        <v>2078</v>
      </c>
      <c r="Z316" t="str">
        <f>IFERROR(VLOOKUP(ROWS($Z$3:Z316),$X$3:$Y$992,2,0),"")</f>
        <v>Pomocné činnosti související s pojišťovnictvím a penzijním financováním</v>
      </c>
    </row>
    <row r="317" spans="13:26">
      <c r="M317" s="324">
        <f>IF(ISNUMBER(SEARCH(ZAKL_DATA!$B$29,N317)),MAX($M$2:M316)+1,0)</f>
        <v>315</v>
      </c>
      <c r="N317" s="325" t="s">
        <v>2080</v>
      </c>
      <c r="O317" s="340" t="s">
        <v>2081</v>
      </c>
      <c r="Q317" s="327" t="str">
        <f>IFERROR(VLOOKUP(ROWS($Q$3:Q317),$M$3:$N$992,2,0),"")</f>
        <v>Správa fondů</v>
      </c>
      <c r="R317">
        <f>IF(ISNUMBER(SEARCH('1Př1'!$A$32,N317)),MAX($M$2:M316)+1,0)</f>
        <v>315</v>
      </c>
      <c r="S317" s="325" t="s">
        <v>2080</v>
      </c>
      <c r="T317" t="str">
        <f>IFERROR(VLOOKUP(ROWS($T$3:T317),$R$3:$S$992,2,0),"")</f>
        <v>Správa fondů</v>
      </c>
      <c r="U317">
        <f>IF(ISNUMBER(SEARCH('1Př1'!$A$33,N317)),MAX($M$2:M316)+1,0)</f>
        <v>315</v>
      </c>
      <c r="V317" s="325" t="s">
        <v>2080</v>
      </c>
      <c r="W317" t="str">
        <f>IFERROR(VLOOKUP(ROWS($W$3:W317),$U$3:$V$992,2,0),"")</f>
        <v>Správa fondů</v>
      </c>
      <c r="X317">
        <f>IF(ISNUMBER(SEARCH('1Př1'!$A$34,N317)),MAX($M$2:M316)+1,0)</f>
        <v>315</v>
      </c>
      <c r="Y317" s="325" t="s">
        <v>2080</v>
      </c>
      <c r="Z317" t="str">
        <f>IFERROR(VLOOKUP(ROWS($Z$3:Z317),$X$3:$Y$992,2,0),"")</f>
        <v>Správa fondů</v>
      </c>
    </row>
    <row r="318" spans="13:26">
      <c r="M318" s="324">
        <f>IF(ISNUMBER(SEARCH(ZAKL_DATA!$B$29,N318)),MAX($M$2:M317)+1,0)</f>
        <v>316</v>
      </c>
      <c r="N318" s="325" t="s">
        <v>2082</v>
      </c>
      <c r="O318" s="340" t="s">
        <v>2083</v>
      </c>
      <c r="Q318" s="327" t="str">
        <f>IFERROR(VLOOKUP(ROWS($Q$3:Q318),$M$3:$N$992,2,0),"")</f>
        <v>Nákup a následný prodej vlastních nemovitostí</v>
      </c>
      <c r="R318">
        <f>IF(ISNUMBER(SEARCH('1Př1'!$A$32,N318)),MAX($M$2:M317)+1,0)</f>
        <v>316</v>
      </c>
      <c r="S318" s="325" t="s">
        <v>2082</v>
      </c>
      <c r="T318" t="str">
        <f>IFERROR(VLOOKUP(ROWS($T$3:T318),$R$3:$S$992,2,0),"")</f>
        <v>Nákup a následný prodej vlastních nemovitostí</v>
      </c>
      <c r="U318">
        <f>IF(ISNUMBER(SEARCH('1Př1'!$A$33,N318)),MAX($M$2:M317)+1,0)</f>
        <v>316</v>
      </c>
      <c r="V318" s="325" t="s">
        <v>2082</v>
      </c>
      <c r="W318" t="str">
        <f>IFERROR(VLOOKUP(ROWS($W$3:W318),$U$3:$V$992,2,0),"")</f>
        <v>Nákup a následný prodej vlastních nemovitostí</v>
      </c>
      <c r="X318">
        <f>IF(ISNUMBER(SEARCH('1Př1'!$A$34,N318)),MAX($M$2:M317)+1,0)</f>
        <v>316</v>
      </c>
      <c r="Y318" s="325" t="s">
        <v>2082</v>
      </c>
      <c r="Z318" t="str">
        <f>IFERROR(VLOOKUP(ROWS($Z$3:Z318),$X$3:$Y$992,2,0),"")</f>
        <v>Nákup a následný prodej vlastních nemovitostí</v>
      </c>
    </row>
    <row r="319" spans="13:26">
      <c r="M319" s="324">
        <f>IF(ISNUMBER(SEARCH(ZAKL_DATA!$B$29,N319)),MAX($M$2:M318)+1,0)</f>
        <v>317</v>
      </c>
      <c r="N319" s="325" t="s">
        <v>2084</v>
      </c>
      <c r="O319" s="340" t="s">
        <v>2085</v>
      </c>
      <c r="Q319" s="327" t="str">
        <f>IFERROR(VLOOKUP(ROWS($Q$3:Q319),$M$3:$N$992,2,0),"")</f>
        <v>Pronájem a správa vlastních nebo pronajatých nemovitostí</v>
      </c>
      <c r="R319">
        <f>IF(ISNUMBER(SEARCH('1Př1'!$A$32,N319)),MAX($M$2:M318)+1,0)</f>
        <v>317</v>
      </c>
      <c r="S319" s="325" t="s">
        <v>2084</v>
      </c>
      <c r="T319" t="str">
        <f>IFERROR(VLOOKUP(ROWS($T$3:T319),$R$3:$S$992,2,0),"")</f>
        <v>Pronájem a správa vlastních nebo pronajatých nemovitostí</v>
      </c>
      <c r="U319">
        <f>IF(ISNUMBER(SEARCH('1Př1'!$A$33,N319)),MAX($M$2:M318)+1,0)</f>
        <v>317</v>
      </c>
      <c r="V319" s="325" t="s">
        <v>2084</v>
      </c>
      <c r="W319" t="str">
        <f>IFERROR(VLOOKUP(ROWS($W$3:W319),$U$3:$V$992,2,0),"")</f>
        <v>Pronájem a správa vlastních nebo pronajatých nemovitostí</v>
      </c>
      <c r="X319">
        <f>IF(ISNUMBER(SEARCH('1Př1'!$A$34,N319)),MAX($M$2:M318)+1,0)</f>
        <v>317</v>
      </c>
      <c r="Y319" s="325" t="s">
        <v>2084</v>
      </c>
      <c r="Z319" t="str">
        <f>IFERROR(VLOOKUP(ROWS($Z$3:Z319),$X$3:$Y$992,2,0),"")</f>
        <v>Pronájem a správa vlastních nebo pronajatých nemovitostí</v>
      </c>
    </row>
    <row r="320" spans="13:26">
      <c r="M320" s="324">
        <f>IF(ISNUMBER(SEARCH(ZAKL_DATA!$B$29,N320)),MAX($M$2:M319)+1,0)</f>
        <v>318</v>
      </c>
      <c r="N320" s="325" t="s">
        <v>2086</v>
      </c>
      <c r="O320" s="340" t="s">
        <v>2087</v>
      </c>
      <c r="Q320" s="327" t="str">
        <f>IFERROR(VLOOKUP(ROWS($Q$3:Q320),$M$3:$N$992,2,0),"")</f>
        <v>Činnosti v oblasti nemovitostí na základě smlouvy nebo dohody</v>
      </c>
      <c r="R320">
        <f>IF(ISNUMBER(SEARCH('1Př1'!$A$32,N320)),MAX($M$2:M319)+1,0)</f>
        <v>318</v>
      </c>
      <c r="S320" s="325" t="s">
        <v>2086</v>
      </c>
      <c r="T320" t="str">
        <f>IFERROR(VLOOKUP(ROWS($T$3:T320),$R$3:$S$992,2,0),"")</f>
        <v>Činnosti v oblasti nemovitostí na základě smlouvy nebo dohody</v>
      </c>
      <c r="U320">
        <f>IF(ISNUMBER(SEARCH('1Př1'!$A$33,N320)),MAX($M$2:M319)+1,0)</f>
        <v>318</v>
      </c>
      <c r="V320" s="325" t="s">
        <v>2086</v>
      </c>
      <c r="W320" t="str">
        <f>IFERROR(VLOOKUP(ROWS($W$3:W320),$U$3:$V$992,2,0),"")</f>
        <v>Činnosti v oblasti nemovitostí na základě smlouvy nebo dohody</v>
      </c>
      <c r="X320">
        <f>IF(ISNUMBER(SEARCH('1Př1'!$A$34,N320)),MAX($M$2:M319)+1,0)</f>
        <v>318</v>
      </c>
      <c r="Y320" s="325" t="s">
        <v>2086</v>
      </c>
      <c r="Z320" t="str">
        <f>IFERROR(VLOOKUP(ROWS($Z$3:Z320),$X$3:$Y$992,2,0),"")</f>
        <v>Činnosti v oblasti nemovitostí na základě smlouvy nebo dohody</v>
      </c>
    </row>
    <row r="321" spans="13:26">
      <c r="M321" s="324">
        <f>IF(ISNUMBER(SEARCH(ZAKL_DATA!$B$29,N321)),MAX($M$2:M320)+1,0)</f>
        <v>319</v>
      </c>
      <c r="N321" s="325" t="s">
        <v>2088</v>
      </c>
      <c r="O321" s="340" t="s">
        <v>2089</v>
      </c>
      <c r="Q321" s="327" t="str">
        <f>IFERROR(VLOOKUP(ROWS($Q$3:Q321),$M$3:$N$992,2,0),"")</f>
        <v>Právní činnosti</v>
      </c>
      <c r="R321">
        <f>IF(ISNUMBER(SEARCH('1Př1'!$A$32,N321)),MAX($M$2:M320)+1,0)</f>
        <v>319</v>
      </c>
      <c r="S321" s="325" t="s">
        <v>2088</v>
      </c>
      <c r="T321" t="str">
        <f>IFERROR(VLOOKUP(ROWS($T$3:T321),$R$3:$S$992,2,0),"")</f>
        <v>Právní činnosti</v>
      </c>
      <c r="U321">
        <f>IF(ISNUMBER(SEARCH('1Př1'!$A$33,N321)),MAX($M$2:M320)+1,0)</f>
        <v>319</v>
      </c>
      <c r="V321" s="325" t="s">
        <v>2088</v>
      </c>
      <c r="W321" t="str">
        <f>IFERROR(VLOOKUP(ROWS($W$3:W321),$U$3:$V$992,2,0),"")</f>
        <v>Právní činnosti</v>
      </c>
      <c r="X321">
        <f>IF(ISNUMBER(SEARCH('1Př1'!$A$34,N321)),MAX($M$2:M320)+1,0)</f>
        <v>319</v>
      </c>
      <c r="Y321" s="325" t="s">
        <v>2088</v>
      </c>
      <c r="Z321" t="str">
        <f>IFERROR(VLOOKUP(ROWS($Z$3:Z321),$X$3:$Y$992,2,0),"")</f>
        <v>Právní činnosti</v>
      </c>
    </row>
    <row r="322" spans="13:26">
      <c r="M322" s="324">
        <f>IF(ISNUMBER(SEARCH(ZAKL_DATA!$B$29,N322)),MAX($M$2:M321)+1,0)</f>
        <v>320</v>
      </c>
      <c r="N322" s="325" t="s">
        <v>2090</v>
      </c>
      <c r="O322" s="340" t="s">
        <v>2091</v>
      </c>
      <c r="Q322" s="327" t="str">
        <f>IFERROR(VLOOKUP(ROWS($Q$3:Q322),$M$3:$N$992,2,0),"")</f>
        <v>Účetnické a auditorské činnosti; daňové poradenství</v>
      </c>
      <c r="R322">
        <f>IF(ISNUMBER(SEARCH('1Př1'!$A$32,N322)),MAX($M$2:M321)+1,0)</f>
        <v>320</v>
      </c>
      <c r="S322" s="325" t="s">
        <v>2090</v>
      </c>
      <c r="T322" t="str">
        <f>IFERROR(VLOOKUP(ROWS($T$3:T322),$R$3:$S$992,2,0),"")</f>
        <v>Účetnické a auditorské činnosti; daňové poradenství</v>
      </c>
      <c r="U322">
        <f>IF(ISNUMBER(SEARCH('1Př1'!$A$33,N322)),MAX($M$2:M321)+1,0)</f>
        <v>320</v>
      </c>
      <c r="V322" s="325" t="s">
        <v>2090</v>
      </c>
      <c r="W322" t="str">
        <f>IFERROR(VLOOKUP(ROWS($W$3:W322),$U$3:$V$992,2,0),"")</f>
        <v>Účetnické a auditorské činnosti; daňové poradenství</v>
      </c>
      <c r="X322">
        <f>IF(ISNUMBER(SEARCH('1Př1'!$A$34,N322)),MAX($M$2:M321)+1,0)</f>
        <v>320</v>
      </c>
      <c r="Y322" s="325" t="s">
        <v>2090</v>
      </c>
      <c r="Z322" t="str">
        <f>IFERROR(VLOOKUP(ROWS($Z$3:Z322),$X$3:$Y$992,2,0),"")</f>
        <v>Účetnické a auditorské činnosti; daňové poradenství</v>
      </c>
    </row>
    <row r="323" spans="13:26">
      <c r="M323" s="324">
        <f>IF(ISNUMBER(SEARCH(ZAKL_DATA!$B$29,N323)),MAX($M$2:M322)+1,0)</f>
        <v>321</v>
      </c>
      <c r="N323" s="325" t="s">
        <v>2092</v>
      </c>
      <c r="O323" s="340" t="s">
        <v>2093</v>
      </c>
      <c r="Q323" s="327" t="str">
        <f>IFERROR(VLOOKUP(ROWS($Q$3:Q323),$M$3:$N$992,2,0),"")</f>
        <v>Činnosti vedení podniků</v>
      </c>
      <c r="R323">
        <f>IF(ISNUMBER(SEARCH('1Př1'!$A$32,N323)),MAX($M$2:M322)+1,0)</f>
        <v>321</v>
      </c>
      <c r="S323" s="325" t="s">
        <v>2092</v>
      </c>
      <c r="T323" t="str">
        <f>IFERROR(VLOOKUP(ROWS($T$3:T323),$R$3:$S$992,2,0),"")</f>
        <v>Činnosti vedení podniků</v>
      </c>
      <c r="U323">
        <f>IF(ISNUMBER(SEARCH('1Př1'!$A$33,N323)),MAX($M$2:M322)+1,0)</f>
        <v>321</v>
      </c>
      <c r="V323" s="325" t="s">
        <v>2092</v>
      </c>
      <c r="W323" t="str">
        <f>IFERROR(VLOOKUP(ROWS($W$3:W323),$U$3:$V$992,2,0),"")</f>
        <v>Činnosti vedení podniků</v>
      </c>
      <c r="X323">
        <f>IF(ISNUMBER(SEARCH('1Př1'!$A$34,N323)),MAX($M$2:M322)+1,0)</f>
        <v>321</v>
      </c>
      <c r="Y323" s="325" t="s">
        <v>2092</v>
      </c>
      <c r="Z323" t="str">
        <f>IFERROR(VLOOKUP(ROWS($Z$3:Z323),$X$3:$Y$992,2,0),"")</f>
        <v>Činnosti vedení podniků</v>
      </c>
    </row>
    <row r="324" spans="13:26">
      <c r="M324" s="324">
        <f>IF(ISNUMBER(SEARCH(ZAKL_DATA!$B$29,N324)),MAX($M$2:M323)+1,0)</f>
        <v>322</v>
      </c>
      <c r="N324" s="325" t="s">
        <v>2094</v>
      </c>
      <c r="O324" s="340" t="s">
        <v>2095</v>
      </c>
      <c r="Q324" s="327" t="str">
        <f>IFERROR(VLOOKUP(ROWS($Q$3:Q324),$M$3:$N$992,2,0),"")</f>
        <v>Poradenství v oblasti řízení</v>
      </c>
      <c r="R324">
        <f>IF(ISNUMBER(SEARCH('1Př1'!$A$32,N324)),MAX($M$2:M323)+1,0)</f>
        <v>322</v>
      </c>
      <c r="S324" s="325" t="s">
        <v>2094</v>
      </c>
      <c r="T324" t="str">
        <f>IFERROR(VLOOKUP(ROWS($T$3:T324),$R$3:$S$992,2,0),"")</f>
        <v>Poradenství v oblasti řízení</v>
      </c>
      <c r="U324">
        <f>IF(ISNUMBER(SEARCH('1Př1'!$A$33,N324)),MAX($M$2:M323)+1,0)</f>
        <v>322</v>
      </c>
      <c r="V324" s="325" t="s">
        <v>2094</v>
      </c>
      <c r="W324" t="str">
        <f>IFERROR(VLOOKUP(ROWS($W$3:W324),$U$3:$V$992,2,0),"")</f>
        <v>Poradenství v oblasti řízení</v>
      </c>
      <c r="X324">
        <f>IF(ISNUMBER(SEARCH('1Př1'!$A$34,N324)),MAX($M$2:M323)+1,0)</f>
        <v>322</v>
      </c>
      <c r="Y324" s="325" t="s">
        <v>2094</v>
      </c>
      <c r="Z324" t="str">
        <f>IFERROR(VLOOKUP(ROWS($Z$3:Z324),$X$3:$Y$992,2,0),"")</f>
        <v>Poradenství v oblasti řízení</v>
      </c>
    </row>
    <row r="325" spans="13:26">
      <c r="M325" s="324">
        <f>IF(ISNUMBER(SEARCH(ZAKL_DATA!$B$29,N325)),MAX($M$2:M324)+1,0)</f>
        <v>323</v>
      </c>
      <c r="N325" s="325" t="s">
        <v>2096</v>
      </c>
      <c r="O325" s="340" t="s">
        <v>2097</v>
      </c>
      <c r="Q325" s="327" t="str">
        <f>IFERROR(VLOOKUP(ROWS($Q$3:Q325),$M$3:$N$992,2,0),"")</f>
        <v>Architektonické a inženýrské činnosti a související technické poradenství</v>
      </c>
      <c r="R325">
        <f>IF(ISNUMBER(SEARCH('1Př1'!$A$32,N325)),MAX($M$2:M324)+1,0)</f>
        <v>323</v>
      </c>
      <c r="S325" s="325" t="s">
        <v>2096</v>
      </c>
      <c r="T325" t="str">
        <f>IFERROR(VLOOKUP(ROWS($T$3:T325),$R$3:$S$992,2,0),"")</f>
        <v>Architektonické a inženýrské činnosti a související technické poradenství</v>
      </c>
      <c r="U325">
        <f>IF(ISNUMBER(SEARCH('1Př1'!$A$33,N325)),MAX($M$2:M324)+1,0)</f>
        <v>323</v>
      </c>
      <c r="V325" s="325" t="s">
        <v>2096</v>
      </c>
      <c r="W325" t="str">
        <f>IFERROR(VLOOKUP(ROWS($W$3:W325),$U$3:$V$992,2,0),"")</f>
        <v>Architektonické a inženýrské činnosti a související technické poradenství</v>
      </c>
      <c r="X325">
        <f>IF(ISNUMBER(SEARCH('1Př1'!$A$34,N325)),MAX($M$2:M324)+1,0)</f>
        <v>323</v>
      </c>
      <c r="Y325" s="325" t="s">
        <v>2096</v>
      </c>
      <c r="Z325" t="str">
        <f>IFERROR(VLOOKUP(ROWS($Z$3:Z325),$X$3:$Y$992,2,0),"")</f>
        <v>Architektonické a inženýrské činnosti a související technické poradenství</v>
      </c>
    </row>
    <row r="326" spans="13:26">
      <c r="M326" s="324">
        <f>IF(ISNUMBER(SEARCH(ZAKL_DATA!$B$29,N326)),MAX($M$2:M325)+1,0)</f>
        <v>324</v>
      </c>
      <c r="N326" s="325" t="s">
        <v>2098</v>
      </c>
      <c r="O326" s="340" t="s">
        <v>2099</v>
      </c>
      <c r="Q326" s="327" t="str">
        <f>IFERROR(VLOOKUP(ROWS($Q$3:Q326),$M$3:$N$992,2,0),"")</f>
        <v>Technické zkoušky a analýzy</v>
      </c>
      <c r="R326">
        <f>IF(ISNUMBER(SEARCH('1Př1'!$A$32,N326)),MAX($M$2:M325)+1,0)</f>
        <v>324</v>
      </c>
      <c r="S326" s="325" t="s">
        <v>2098</v>
      </c>
      <c r="T326" t="str">
        <f>IFERROR(VLOOKUP(ROWS($T$3:T326),$R$3:$S$992,2,0),"")</f>
        <v>Technické zkoušky a analýzy</v>
      </c>
      <c r="U326">
        <f>IF(ISNUMBER(SEARCH('1Př1'!$A$33,N326)),MAX($M$2:M325)+1,0)</f>
        <v>324</v>
      </c>
      <c r="V326" s="325" t="s">
        <v>2098</v>
      </c>
      <c r="W326" t="str">
        <f>IFERROR(VLOOKUP(ROWS($W$3:W326),$U$3:$V$992,2,0),"")</f>
        <v>Technické zkoušky a analýzy</v>
      </c>
      <c r="X326">
        <f>IF(ISNUMBER(SEARCH('1Př1'!$A$34,N326)),MAX($M$2:M325)+1,0)</f>
        <v>324</v>
      </c>
      <c r="Y326" s="325" t="s">
        <v>2098</v>
      </c>
      <c r="Z326" t="str">
        <f>IFERROR(VLOOKUP(ROWS($Z$3:Z326),$X$3:$Y$992,2,0),"")</f>
        <v>Technické zkoušky a analýzy</v>
      </c>
    </row>
    <row r="327" spans="13:26">
      <c r="M327" s="324">
        <f>IF(ISNUMBER(SEARCH(ZAKL_DATA!$B$29,N327)),MAX($M$2:M326)+1,0)</f>
        <v>325</v>
      </c>
      <c r="N327" s="325" t="s">
        <v>2100</v>
      </c>
      <c r="O327" s="340" t="s">
        <v>2101</v>
      </c>
      <c r="Q327" s="327" t="str">
        <f>IFERROR(VLOOKUP(ROWS($Q$3:Q327),$M$3:$N$992,2,0),"")</f>
        <v>Výzkum a vývoj v oblasti přírodních a technických věd</v>
      </c>
      <c r="R327">
        <f>IF(ISNUMBER(SEARCH('1Př1'!$A$32,N327)),MAX($M$2:M326)+1,0)</f>
        <v>325</v>
      </c>
      <c r="S327" s="325" t="s">
        <v>2100</v>
      </c>
      <c r="T327" t="str">
        <f>IFERROR(VLOOKUP(ROWS($T$3:T327),$R$3:$S$992,2,0),"")</f>
        <v>Výzkum a vývoj v oblasti přírodních a technických věd</v>
      </c>
      <c r="U327">
        <f>IF(ISNUMBER(SEARCH('1Př1'!$A$33,N327)),MAX($M$2:M326)+1,0)</f>
        <v>325</v>
      </c>
      <c r="V327" s="325" t="s">
        <v>2100</v>
      </c>
      <c r="W327" t="str">
        <f>IFERROR(VLOOKUP(ROWS($W$3:W327),$U$3:$V$992,2,0),"")</f>
        <v>Výzkum a vývoj v oblasti přírodních a technických věd</v>
      </c>
      <c r="X327">
        <f>IF(ISNUMBER(SEARCH('1Př1'!$A$34,N327)),MAX($M$2:M326)+1,0)</f>
        <v>325</v>
      </c>
      <c r="Y327" s="325" t="s">
        <v>2100</v>
      </c>
      <c r="Z327" t="str">
        <f>IFERROR(VLOOKUP(ROWS($Z$3:Z327),$X$3:$Y$992,2,0),"")</f>
        <v>Výzkum a vývoj v oblasti přírodních a technických věd</v>
      </c>
    </row>
    <row r="328" spans="13:26">
      <c r="M328" s="324">
        <f>IF(ISNUMBER(SEARCH(ZAKL_DATA!$B$29,N328)),MAX($M$2:M327)+1,0)</f>
        <v>326</v>
      </c>
      <c r="N328" s="325" t="s">
        <v>2102</v>
      </c>
      <c r="O328" s="340" t="s">
        <v>2103</v>
      </c>
      <c r="Q328" s="327" t="str">
        <f>IFERROR(VLOOKUP(ROWS($Q$3:Q328),$M$3:$N$992,2,0),"")</f>
        <v>Těžba a úprava uranových a thoriových rud</v>
      </c>
      <c r="R328">
        <f>IF(ISNUMBER(SEARCH('1Př1'!$A$32,N328)),MAX($M$2:M327)+1,0)</f>
        <v>326</v>
      </c>
      <c r="S328" s="325" t="s">
        <v>2102</v>
      </c>
      <c r="T328" t="str">
        <f>IFERROR(VLOOKUP(ROWS($T$3:T328),$R$3:$S$992,2,0),"")</f>
        <v>Těžba a úprava uranových a thoriových rud</v>
      </c>
      <c r="U328">
        <f>IF(ISNUMBER(SEARCH('1Př1'!$A$33,N328)),MAX($M$2:M327)+1,0)</f>
        <v>326</v>
      </c>
      <c r="V328" s="325" t="s">
        <v>2102</v>
      </c>
      <c r="W328" t="str">
        <f>IFERROR(VLOOKUP(ROWS($W$3:W328),$U$3:$V$992,2,0),"")</f>
        <v>Těžba a úprava uranových a thoriových rud</v>
      </c>
      <c r="X328">
        <f>IF(ISNUMBER(SEARCH('1Př1'!$A$34,N328)),MAX($M$2:M327)+1,0)</f>
        <v>326</v>
      </c>
      <c r="Y328" s="325" t="s">
        <v>2102</v>
      </c>
      <c r="Z328" t="str">
        <f>IFERROR(VLOOKUP(ROWS($Z$3:Z328),$X$3:$Y$992,2,0),"")</f>
        <v>Těžba a úprava uranových a thoriových rud</v>
      </c>
    </row>
    <row r="329" spans="13:26">
      <c r="M329" s="324">
        <f>IF(ISNUMBER(SEARCH(ZAKL_DATA!$B$29,N329)),MAX($M$2:M328)+1,0)</f>
        <v>327</v>
      </c>
      <c r="N329" s="325" t="s">
        <v>2104</v>
      </c>
      <c r="O329" s="340" t="s">
        <v>2105</v>
      </c>
      <c r="Q329" s="327" t="str">
        <f>IFERROR(VLOOKUP(ROWS($Q$3:Q329),$M$3:$N$992,2,0),"")</f>
        <v>Výzkum a vývoj v oblasti společenských a humanitních věd</v>
      </c>
      <c r="R329">
        <f>IF(ISNUMBER(SEARCH('1Př1'!$A$32,N329)),MAX($M$2:M328)+1,0)</f>
        <v>327</v>
      </c>
      <c r="S329" s="325" t="s">
        <v>2104</v>
      </c>
      <c r="T329" t="str">
        <f>IFERROR(VLOOKUP(ROWS($T$3:T329),$R$3:$S$992,2,0),"")</f>
        <v>Výzkum a vývoj v oblasti společenských a humanitních věd</v>
      </c>
      <c r="U329">
        <f>IF(ISNUMBER(SEARCH('1Př1'!$A$33,N329)),MAX($M$2:M328)+1,0)</f>
        <v>327</v>
      </c>
      <c r="V329" s="325" t="s">
        <v>2104</v>
      </c>
      <c r="W329" t="str">
        <f>IFERROR(VLOOKUP(ROWS($W$3:W329),$U$3:$V$992,2,0),"")</f>
        <v>Výzkum a vývoj v oblasti společenských a humanitních věd</v>
      </c>
      <c r="X329">
        <f>IF(ISNUMBER(SEARCH('1Př1'!$A$34,N329)),MAX($M$2:M328)+1,0)</f>
        <v>327</v>
      </c>
      <c r="Y329" s="325" t="s">
        <v>2104</v>
      </c>
      <c r="Z329" t="str">
        <f>IFERROR(VLOOKUP(ROWS($Z$3:Z329),$X$3:$Y$992,2,0),"")</f>
        <v>Výzkum a vývoj v oblasti společenských a humanitních věd</v>
      </c>
    </row>
    <row r="330" spans="13:26">
      <c r="M330" s="324">
        <f>IF(ISNUMBER(SEARCH(ZAKL_DATA!$B$29,N330)),MAX($M$2:M329)+1,0)</f>
        <v>328</v>
      </c>
      <c r="N330" s="325" t="s">
        <v>2106</v>
      </c>
      <c r="O330" s="340" t="s">
        <v>2107</v>
      </c>
      <c r="Q330" s="327" t="str">
        <f>IFERROR(VLOOKUP(ROWS($Q$3:Q330),$M$3:$N$992,2,0),"")</f>
        <v>Těžba a úprava ostatních neželezných rud</v>
      </c>
      <c r="R330">
        <f>IF(ISNUMBER(SEARCH('1Př1'!$A$32,N330)),MAX($M$2:M329)+1,0)</f>
        <v>328</v>
      </c>
      <c r="S330" s="325" t="s">
        <v>2106</v>
      </c>
      <c r="T330" t="str">
        <f>IFERROR(VLOOKUP(ROWS($T$3:T330),$R$3:$S$992,2,0),"")</f>
        <v>Těžba a úprava ostatních neželezných rud</v>
      </c>
      <c r="U330">
        <f>IF(ISNUMBER(SEARCH('1Př1'!$A$33,N330)),MAX($M$2:M329)+1,0)</f>
        <v>328</v>
      </c>
      <c r="V330" s="325" t="s">
        <v>2106</v>
      </c>
      <c r="W330" t="str">
        <f>IFERROR(VLOOKUP(ROWS($W$3:W330),$U$3:$V$992,2,0),"")</f>
        <v>Těžba a úprava ostatních neželezných rud</v>
      </c>
      <c r="X330">
        <f>IF(ISNUMBER(SEARCH('1Př1'!$A$34,N330)),MAX($M$2:M329)+1,0)</f>
        <v>328</v>
      </c>
      <c r="Y330" s="325" t="s">
        <v>2106</v>
      </c>
      <c r="Z330" t="str">
        <f>IFERROR(VLOOKUP(ROWS($Z$3:Z330),$X$3:$Y$992,2,0),"")</f>
        <v>Těžba a úprava ostatních neželezných rud</v>
      </c>
    </row>
    <row r="331" spans="13:26">
      <c r="M331" s="324">
        <f>IF(ISNUMBER(SEARCH(ZAKL_DATA!$B$29,N331)),MAX($M$2:M330)+1,0)</f>
        <v>329</v>
      </c>
      <c r="N331" s="325" t="s">
        <v>2108</v>
      </c>
      <c r="O331" s="340" t="s">
        <v>2109</v>
      </c>
      <c r="Q331" s="327" t="str">
        <f>IFERROR(VLOOKUP(ROWS($Q$3:Q331),$M$3:$N$992,2,0),"")</f>
        <v>Reklamní činnosti</v>
      </c>
      <c r="R331">
        <f>IF(ISNUMBER(SEARCH('1Př1'!$A$32,N331)),MAX($M$2:M330)+1,0)</f>
        <v>329</v>
      </c>
      <c r="S331" s="325" t="s">
        <v>2108</v>
      </c>
      <c r="T331" t="str">
        <f>IFERROR(VLOOKUP(ROWS($T$3:T331),$R$3:$S$992,2,0),"")</f>
        <v>Reklamní činnosti</v>
      </c>
      <c r="U331">
        <f>IF(ISNUMBER(SEARCH('1Př1'!$A$33,N331)),MAX($M$2:M330)+1,0)</f>
        <v>329</v>
      </c>
      <c r="V331" s="325" t="s">
        <v>2108</v>
      </c>
      <c r="W331" t="str">
        <f>IFERROR(VLOOKUP(ROWS($W$3:W331),$U$3:$V$992,2,0),"")</f>
        <v>Reklamní činnosti</v>
      </c>
      <c r="X331">
        <f>IF(ISNUMBER(SEARCH('1Př1'!$A$34,N331)),MAX($M$2:M330)+1,0)</f>
        <v>329</v>
      </c>
      <c r="Y331" s="325" t="s">
        <v>2108</v>
      </c>
      <c r="Z331" t="str">
        <f>IFERROR(VLOOKUP(ROWS($Z$3:Z331),$X$3:$Y$992,2,0),"")</f>
        <v>Reklamní činnosti</v>
      </c>
    </row>
    <row r="332" spans="13:26">
      <c r="M332" s="324">
        <f>IF(ISNUMBER(SEARCH(ZAKL_DATA!$B$29,N332)),MAX($M$2:M331)+1,0)</f>
        <v>330</v>
      </c>
      <c r="N332" s="325" t="s">
        <v>2110</v>
      </c>
      <c r="O332" s="340" t="s">
        <v>2111</v>
      </c>
      <c r="Q332" s="327" t="str">
        <f>IFERROR(VLOOKUP(ROWS($Q$3:Q332),$M$3:$N$992,2,0),"")</f>
        <v>Průzkum trhu a veřejného mínění</v>
      </c>
      <c r="R332">
        <f>IF(ISNUMBER(SEARCH('1Př1'!$A$32,N332)),MAX($M$2:M331)+1,0)</f>
        <v>330</v>
      </c>
      <c r="S332" s="325" t="s">
        <v>2110</v>
      </c>
      <c r="T332" t="str">
        <f>IFERROR(VLOOKUP(ROWS($T$3:T332),$R$3:$S$992,2,0),"")</f>
        <v>Průzkum trhu a veřejného mínění</v>
      </c>
      <c r="U332">
        <f>IF(ISNUMBER(SEARCH('1Př1'!$A$33,N332)),MAX($M$2:M331)+1,0)</f>
        <v>330</v>
      </c>
      <c r="V332" s="325" t="s">
        <v>2110</v>
      </c>
      <c r="W332" t="str">
        <f>IFERROR(VLOOKUP(ROWS($W$3:W332),$U$3:$V$992,2,0),"")</f>
        <v>Průzkum trhu a veřejného mínění</v>
      </c>
      <c r="X332">
        <f>IF(ISNUMBER(SEARCH('1Př1'!$A$34,N332)),MAX($M$2:M331)+1,0)</f>
        <v>330</v>
      </c>
      <c r="Y332" s="325" t="s">
        <v>2110</v>
      </c>
      <c r="Z332" t="str">
        <f>IFERROR(VLOOKUP(ROWS($Z$3:Z332),$X$3:$Y$992,2,0),"")</f>
        <v>Průzkum trhu a veřejného mínění</v>
      </c>
    </row>
    <row r="333" spans="13:26">
      <c r="M333" s="324">
        <f>IF(ISNUMBER(SEARCH(ZAKL_DATA!$B$29,N333)),MAX($M$2:M332)+1,0)</f>
        <v>331</v>
      </c>
      <c r="N333" s="325" t="s">
        <v>2112</v>
      </c>
      <c r="O333" s="340" t="s">
        <v>2113</v>
      </c>
      <c r="Q333" s="327" t="str">
        <f>IFERROR(VLOOKUP(ROWS($Q$3:Q333),$M$3:$N$992,2,0),"")</f>
        <v>Specializované návrhářské činnosti</v>
      </c>
      <c r="R333">
        <f>IF(ISNUMBER(SEARCH('1Př1'!$A$32,N333)),MAX($M$2:M332)+1,0)</f>
        <v>331</v>
      </c>
      <c r="S333" s="325" t="s">
        <v>2112</v>
      </c>
      <c r="T333" t="str">
        <f>IFERROR(VLOOKUP(ROWS($T$3:T333),$R$3:$S$992,2,0),"")</f>
        <v>Specializované návrhářské činnosti</v>
      </c>
      <c r="U333">
        <f>IF(ISNUMBER(SEARCH('1Př1'!$A$33,N333)),MAX($M$2:M332)+1,0)</f>
        <v>331</v>
      </c>
      <c r="V333" s="325" t="s">
        <v>2112</v>
      </c>
      <c r="W333" t="str">
        <f>IFERROR(VLOOKUP(ROWS($W$3:W333),$U$3:$V$992,2,0),"")</f>
        <v>Specializované návrhářské činnosti</v>
      </c>
      <c r="X333">
        <f>IF(ISNUMBER(SEARCH('1Př1'!$A$34,N333)),MAX($M$2:M332)+1,0)</f>
        <v>331</v>
      </c>
      <c r="Y333" s="325" t="s">
        <v>2112</v>
      </c>
      <c r="Z333" t="str">
        <f>IFERROR(VLOOKUP(ROWS($Z$3:Z333),$X$3:$Y$992,2,0),"")</f>
        <v>Specializované návrhářské činnosti</v>
      </c>
    </row>
    <row r="334" spans="13:26">
      <c r="M334" s="324">
        <f>IF(ISNUMBER(SEARCH(ZAKL_DATA!$B$29,N334)),MAX($M$2:M333)+1,0)</f>
        <v>332</v>
      </c>
      <c r="N334" s="325" t="s">
        <v>2114</v>
      </c>
      <c r="O334" s="340" t="s">
        <v>2115</v>
      </c>
      <c r="Q334" s="327" t="str">
        <f>IFERROR(VLOOKUP(ROWS($Q$3:Q334),$M$3:$N$992,2,0),"")</f>
        <v>Fotografické činnosti</v>
      </c>
      <c r="R334">
        <f>IF(ISNUMBER(SEARCH('1Př1'!$A$32,N334)),MAX($M$2:M333)+1,0)</f>
        <v>332</v>
      </c>
      <c r="S334" s="325" t="s">
        <v>2114</v>
      </c>
      <c r="T334" t="str">
        <f>IFERROR(VLOOKUP(ROWS($T$3:T334),$R$3:$S$992,2,0),"")</f>
        <v>Fotografické činnosti</v>
      </c>
      <c r="U334">
        <f>IF(ISNUMBER(SEARCH('1Př1'!$A$33,N334)),MAX($M$2:M333)+1,0)</f>
        <v>332</v>
      </c>
      <c r="V334" s="325" t="s">
        <v>2114</v>
      </c>
      <c r="W334" t="str">
        <f>IFERROR(VLOOKUP(ROWS($W$3:W334),$U$3:$V$992,2,0),"")</f>
        <v>Fotografické činnosti</v>
      </c>
      <c r="X334">
        <f>IF(ISNUMBER(SEARCH('1Př1'!$A$34,N334)),MAX($M$2:M333)+1,0)</f>
        <v>332</v>
      </c>
      <c r="Y334" s="325" t="s">
        <v>2114</v>
      </c>
      <c r="Z334" t="str">
        <f>IFERROR(VLOOKUP(ROWS($Z$3:Z334),$X$3:$Y$992,2,0),"")</f>
        <v>Fotografické činnosti</v>
      </c>
    </row>
    <row r="335" spans="13:26">
      <c r="M335" s="324">
        <f>IF(ISNUMBER(SEARCH(ZAKL_DATA!$B$29,N335)),MAX($M$2:M334)+1,0)</f>
        <v>333</v>
      </c>
      <c r="N335" s="325" t="s">
        <v>2116</v>
      </c>
      <c r="O335" s="340" t="s">
        <v>2117</v>
      </c>
      <c r="Q335" s="327" t="str">
        <f>IFERROR(VLOOKUP(ROWS($Q$3:Q335),$M$3:$N$992,2,0),"")</f>
        <v>Překladatelské a tlumočnické činnosti</v>
      </c>
      <c r="R335">
        <f>IF(ISNUMBER(SEARCH('1Př1'!$A$32,N335)),MAX($M$2:M334)+1,0)</f>
        <v>333</v>
      </c>
      <c r="S335" s="325" t="s">
        <v>2116</v>
      </c>
      <c r="T335" t="str">
        <f>IFERROR(VLOOKUP(ROWS($T$3:T335),$R$3:$S$992,2,0),"")</f>
        <v>Překladatelské a tlumočnické činnosti</v>
      </c>
      <c r="U335">
        <f>IF(ISNUMBER(SEARCH('1Př1'!$A$33,N335)),MAX($M$2:M334)+1,0)</f>
        <v>333</v>
      </c>
      <c r="V335" s="325" t="s">
        <v>2116</v>
      </c>
      <c r="W335" t="str">
        <f>IFERROR(VLOOKUP(ROWS($W$3:W335),$U$3:$V$992,2,0),"")</f>
        <v>Překladatelské a tlumočnické činnosti</v>
      </c>
      <c r="X335">
        <f>IF(ISNUMBER(SEARCH('1Př1'!$A$34,N335)),MAX($M$2:M334)+1,0)</f>
        <v>333</v>
      </c>
      <c r="Y335" s="325" t="s">
        <v>2116</v>
      </c>
      <c r="Z335" t="str">
        <f>IFERROR(VLOOKUP(ROWS($Z$3:Z335),$X$3:$Y$992,2,0),"")</f>
        <v>Překladatelské a tlumočnické činnosti</v>
      </c>
    </row>
    <row r="336" spans="13:26">
      <c r="M336" s="324">
        <f>IF(ISNUMBER(SEARCH(ZAKL_DATA!$B$29,N336)),MAX($M$2:M335)+1,0)</f>
        <v>334</v>
      </c>
      <c r="N336" s="325" t="s">
        <v>2118</v>
      </c>
      <c r="O336" s="340" t="s">
        <v>2119</v>
      </c>
      <c r="Q336" s="327" t="str">
        <f>IFERROR(VLOOKUP(ROWS($Q$3:Q336),$M$3:$N$992,2,0),"")</f>
        <v>Ostatní profesní, vědecké a technické činnosti j. n.</v>
      </c>
      <c r="R336">
        <f>IF(ISNUMBER(SEARCH('1Př1'!$A$32,N336)),MAX($M$2:M335)+1,0)</f>
        <v>334</v>
      </c>
      <c r="S336" s="325" t="s">
        <v>2118</v>
      </c>
      <c r="T336" t="str">
        <f>IFERROR(VLOOKUP(ROWS($T$3:T336),$R$3:$S$992,2,0),"")</f>
        <v>Ostatní profesní, vědecké a technické činnosti j. n.</v>
      </c>
      <c r="U336">
        <f>IF(ISNUMBER(SEARCH('1Př1'!$A$33,N336)),MAX($M$2:M335)+1,0)</f>
        <v>334</v>
      </c>
      <c r="V336" s="325" t="s">
        <v>2118</v>
      </c>
      <c r="W336" t="str">
        <f>IFERROR(VLOOKUP(ROWS($W$3:W336),$U$3:$V$992,2,0),"")</f>
        <v>Ostatní profesní, vědecké a technické činnosti j. n.</v>
      </c>
      <c r="X336">
        <f>IF(ISNUMBER(SEARCH('1Př1'!$A$34,N336)),MAX($M$2:M335)+1,0)</f>
        <v>334</v>
      </c>
      <c r="Y336" s="325" t="s">
        <v>2118</v>
      </c>
      <c r="Z336" t="str">
        <f>IFERROR(VLOOKUP(ROWS($Z$3:Z336),$X$3:$Y$992,2,0),"")</f>
        <v>Ostatní profesní, vědecké a technické činnosti j. n.</v>
      </c>
    </row>
    <row r="337" spans="13:26">
      <c r="M337" s="324">
        <f>IF(ISNUMBER(SEARCH(ZAKL_DATA!$B$29,N337)),MAX($M$2:M336)+1,0)</f>
        <v>335</v>
      </c>
      <c r="N337" s="325" t="s">
        <v>2120</v>
      </c>
      <c r="O337" s="340" t="s">
        <v>2121</v>
      </c>
      <c r="Q337" s="327" t="str">
        <f>IFERROR(VLOOKUP(ROWS($Q$3:Q337),$M$3:$N$992,2,0),"")</f>
        <v>Pronájem a leasing motorových vozidel, kromě motocyklů</v>
      </c>
      <c r="R337">
        <f>IF(ISNUMBER(SEARCH('1Př1'!$A$32,N337)),MAX($M$2:M336)+1,0)</f>
        <v>335</v>
      </c>
      <c r="S337" s="325" t="s">
        <v>2120</v>
      </c>
      <c r="T337" t="str">
        <f>IFERROR(VLOOKUP(ROWS($T$3:T337),$R$3:$S$992,2,0),"")</f>
        <v>Pronájem a leasing motorových vozidel, kromě motocyklů</v>
      </c>
      <c r="U337">
        <f>IF(ISNUMBER(SEARCH('1Př1'!$A$33,N337)),MAX($M$2:M336)+1,0)</f>
        <v>335</v>
      </c>
      <c r="V337" s="325" t="s">
        <v>2120</v>
      </c>
      <c r="W337" t="str">
        <f>IFERROR(VLOOKUP(ROWS($W$3:W337),$U$3:$V$992,2,0),"")</f>
        <v>Pronájem a leasing motorových vozidel, kromě motocyklů</v>
      </c>
      <c r="X337">
        <f>IF(ISNUMBER(SEARCH('1Př1'!$A$34,N337)),MAX($M$2:M336)+1,0)</f>
        <v>335</v>
      </c>
      <c r="Y337" s="325" t="s">
        <v>2120</v>
      </c>
      <c r="Z337" t="str">
        <f>IFERROR(VLOOKUP(ROWS($Z$3:Z337),$X$3:$Y$992,2,0),"")</f>
        <v>Pronájem a leasing motorových vozidel, kromě motocyklů</v>
      </c>
    </row>
    <row r="338" spans="13:26">
      <c r="M338" s="324">
        <f>IF(ISNUMBER(SEARCH(ZAKL_DATA!$B$29,N338)),MAX($M$2:M337)+1,0)</f>
        <v>336</v>
      </c>
      <c r="N338" s="325" t="s">
        <v>2122</v>
      </c>
      <c r="O338" s="340" t="s">
        <v>2123</v>
      </c>
      <c r="Q338" s="327" t="str">
        <f>IFERROR(VLOOKUP(ROWS($Q$3:Q338),$M$3:$N$992,2,0),"")</f>
        <v>Pronájem a leasing výrobků pro osobní potřebu a převážně pro domácnost</v>
      </c>
      <c r="R338">
        <f>IF(ISNUMBER(SEARCH('1Př1'!$A$32,N338)),MAX($M$2:M337)+1,0)</f>
        <v>336</v>
      </c>
      <c r="S338" s="325" t="s">
        <v>2122</v>
      </c>
      <c r="T338" t="str">
        <f>IFERROR(VLOOKUP(ROWS($T$3:T338),$R$3:$S$992,2,0),"")</f>
        <v>Pronájem a leasing výrobků pro osobní potřebu a převážně pro domácnost</v>
      </c>
      <c r="U338">
        <f>IF(ISNUMBER(SEARCH('1Př1'!$A$33,N338)),MAX($M$2:M337)+1,0)</f>
        <v>336</v>
      </c>
      <c r="V338" s="325" t="s">
        <v>2122</v>
      </c>
      <c r="W338" t="str">
        <f>IFERROR(VLOOKUP(ROWS($W$3:W338),$U$3:$V$992,2,0),"")</f>
        <v>Pronájem a leasing výrobků pro osobní potřebu a převážně pro domácnost</v>
      </c>
      <c r="X338">
        <f>IF(ISNUMBER(SEARCH('1Př1'!$A$34,N338)),MAX($M$2:M337)+1,0)</f>
        <v>336</v>
      </c>
      <c r="Y338" s="325" t="s">
        <v>2122</v>
      </c>
      <c r="Z338" t="str">
        <f>IFERROR(VLOOKUP(ROWS($Z$3:Z338),$X$3:$Y$992,2,0),"")</f>
        <v>Pronájem a leasing výrobků pro osobní potřebu a převážně pro domácnost</v>
      </c>
    </row>
    <row r="339" spans="13:26">
      <c r="M339" s="324">
        <f>IF(ISNUMBER(SEARCH(ZAKL_DATA!$B$29,N339)),MAX($M$2:M338)+1,0)</f>
        <v>337</v>
      </c>
      <c r="N339" s="325" t="s">
        <v>2124</v>
      </c>
      <c r="O339" s="340" t="s">
        <v>2125</v>
      </c>
      <c r="Q339" s="327" t="str">
        <f>IFERROR(VLOOKUP(ROWS($Q$3:Q339),$M$3:$N$992,2,0),"")</f>
        <v>Pronájem a leasing ostatních strojů, zařízení a výrobků</v>
      </c>
      <c r="R339">
        <f>IF(ISNUMBER(SEARCH('1Př1'!$A$32,N339)),MAX($M$2:M338)+1,0)</f>
        <v>337</v>
      </c>
      <c r="S339" s="325" t="s">
        <v>2124</v>
      </c>
      <c r="T339" t="str">
        <f>IFERROR(VLOOKUP(ROWS($T$3:T339),$R$3:$S$992,2,0),"")</f>
        <v>Pronájem a leasing ostatních strojů, zařízení a výrobků</v>
      </c>
      <c r="U339">
        <f>IF(ISNUMBER(SEARCH('1Př1'!$A$33,N339)),MAX($M$2:M338)+1,0)</f>
        <v>337</v>
      </c>
      <c r="V339" s="325" t="s">
        <v>2124</v>
      </c>
      <c r="W339" t="str">
        <f>IFERROR(VLOOKUP(ROWS($W$3:W339),$U$3:$V$992,2,0),"")</f>
        <v>Pronájem a leasing ostatních strojů, zařízení a výrobků</v>
      </c>
      <c r="X339">
        <f>IF(ISNUMBER(SEARCH('1Př1'!$A$34,N339)),MAX($M$2:M338)+1,0)</f>
        <v>337</v>
      </c>
      <c r="Y339" s="325" t="s">
        <v>2124</v>
      </c>
      <c r="Z339" t="str">
        <f>IFERROR(VLOOKUP(ROWS($Z$3:Z339),$X$3:$Y$992,2,0),"")</f>
        <v>Pronájem a leasing ostatních strojů, zařízení a výrobků</v>
      </c>
    </row>
    <row r="340" spans="13:26">
      <c r="M340" s="324">
        <f>IF(ISNUMBER(SEARCH(ZAKL_DATA!$B$29,N340)),MAX($M$2:M339)+1,0)</f>
        <v>338</v>
      </c>
      <c r="N340" s="325" t="s">
        <v>2126</v>
      </c>
      <c r="O340" s="340" t="s">
        <v>2127</v>
      </c>
      <c r="Q340" s="327" t="str">
        <f>IFERROR(VLOOKUP(ROWS($Q$3:Q340),$M$3:$N$992,2,0),"")</f>
        <v>Leasing duševního vlast.a podobných produktů,kromě děl chrán.autor.právem</v>
      </c>
      <c r="R340">
        <f>IF(ISNUMBER(SEARCH('1Př1'!$A$32,N340)),MAX($M$2:M339)+1,0)</f>
        <v>338</v>
      </c>
      <c r="S340" s="325" t="s">
        <v>2126</v>
      </c>
      <c r="T340" t="str">
        <f>IFERROR(VLOOKUP(ROWS($T$3:T340),$R$3:$S$992,2,0),"")</f>
        <v>Leasing duševního vlast.a podobných produktů,kromě děl chrán.autor.právem</v>
      </c>
      <c r="U340">
        <f>IF(ISNUMBER(SEARCH('1Př1'!$A$33,N340)),MAX($M$2:M339)+1,0)</f>
        <v>338</v>
      </c>
      <c r="V340" s="325" t="s">
        <v>2126</v>
      </c>
      <c r="W340" t="str">
        <f>IFERROR(VLOOKUP(ROWS($W$3:W340),$U$3:$V$992,2,0),"")</f>
        <v>Leasing duševního vlast.a podobných produktů,kromě děl chrán.autor.právem</v>
      </c>
      <c r="X340">
        <f>IF(ISNUMBER(SEARCH('1Př1'!$A$34,N340)),MAX($M$2:M339)+1,0)</f>
        <v>338</v>
      </c>
      <c r="Y340" s="325" t="s">
        <v>2126</v>
      </c>
      <c r="Z340" t="str">
        <f>IFERROR(VLOOKUP(ROWS($Z$3:Z340),$X$3:$Y$992,2,0),"")</f>
        <v>Leasing duševního vlast.a podobných produktů,kromě děl chrán.autor.právem</v>
      </c>
    </row>
    <row r="341" spans="13:26">
      <c r="M341" s="324">
        <f>IF(ISNUMBER(SEARCH(ZAKL_DATA!$B$29,N341)),MAX($M$2:M340)+1,0)</f>
        <v>339</v>
      </c>
      <c r="N341" s="325" t="s">
        <v>2128</v>
      </c>
      <c r="O341" s="340" t="s">
        <v>2129</v>
      </c>
      <c r="Q341" s="327" t="str">
        <f>IFERROR(VLOOKUP(ROWS($Q$3:Q341),$M$3:$N$992,2,0),"")</f>
        <v>Činnosti agentur zprostředkujících zaměstnání</v>
      </c>
      <c r="R341">
        <f>IF(ISNUMBER(SEARCH('1Př1'!$A$32,N341)),MAX($M$2:M340)+1,0)</f>
        <v>339</v>
      </c>
      <c r="S341" s="325" t="s">
        <v>2128</v>
      </c>
      <c r="T341" t="str">
        <f>IFERROR(VLOOKUP(ROWS($T$3:T341),$R$3:$S$992,2,0),"")</f>
        <v>Činnosti agentur zprostředkujících zaměstnání</v>
      </c>
      <c r="U341">
        <f>IF(ISNUMBER(SEARCH('1Př1'!$A$33,N341)),MAX($M$2:M340)+1,0)</f>
        <v>339</v>
      </c>
      <c r="V341" s="325" t="s">
        <v>2128</v>
      </c>
      <c r="W341" t="str">
        <f>IFERROR(VLOOKUP(ROWS($W$3:W341),$U$3:$V$992,2,0),"")</f>
        <v>Činnosti agentur zprostředkujících zaměstnání</v>
      </c>
      <c r="X341">
        <f>IF(ISNUMBER(SEARCH('1Př1'!$A$34,N341)),MAX($M$2:M340)+1,0)</f>
        <v>339</v>
      </c>
      <c r="Y341" s="325" t="s">
        <v>2128</v>
      </c>
      <c r="Z341" t="str">
        <f>IFERROR(VLOOKUP(ROWS($Z$3:Z341),$X$3:$Y$992,2,0),"")</f>
        <v>Činnosti agentur zprostředkujících zaměstnání</v>
      </c>
    </row>
    <row r="342" spans="13:26">
      <c r="M342" s="324">
        <f>IF(ISNUMBER(SEARCH(ZAKL_DATA!$B$29,N342)),MAX($M$2:M341)+1,0)</f>
        <v>340</v>
      </c>
      <c r="N342" s="325" t="s">
        <v>2130</v>
      </c>
      <c r="O342" s="340" t="s">
        <v>2131</v>
      </c>
      <c r="Q342" s="327" t="str">
        <f>IFERROR(VLOOKUP(ROWS($Q$3:Q342),$M$3:$N$992,2,0),"")</f>
        <v>Činnosti agentur zprostředkujících práci na přechodnou dobu</v>
      </c>
      <c r="R342">
        <f>IF(ISNUMBER(SEARCH('1Př1'!$A$32,N342)),MAX($M$2:M341)+1,0)</f>
        <v>340</v>
      </c>
      <c r="S342" s="325" t="s">
        <v>2130</v>
      </c>
      <c r="T342" t="str">
        <f>IFERROR(VLOOKUP(ROWS($T$3:T342),$R$3:$S$992,2,0),"")</f>
        <v>Činnosti agentur zprostředkujících práci na přechodnou dobu</v>
      </c>
      <c r="U342">
        <f>IF(ISNUMBER(SEARCH('1Př1'!$A$33,N342)),MAX($M$2:M341)+1,0)</f>
        <v>340</v>
      </c>
      <c r="V342" s="325" t="s">
        <v>2130</v>
      </c>
      <c r="W342" t="str">
        <f>IFERROR(VLOOKUP(ROWS($W$3:W342),$U$3:$V$992,2,0),"")</f>
        <v>Činnosti agentur zprostředkujících práci na přechodnou dobu</v>
      </c>
      <c r="X342">
        <f>IF(ISNUMBER(SEARCH('1Př1'!$A$34,N342)),MAX($M$2:M341)+1,0)</f>
        <v>340</v>
      </c>
      <c r="Y342" s="325" t="s">
        <v>2130</v>
      </c>
      <c r="Z342" t="str">
        <f>IFERROR(VLOOKUP(ROWS($Z$3:Z342),$X$3:$Y$992,2,0),"")</f>
        <v>Činnosti agentur zprostředkujících práci na přechodnou dobu</v>
      </c>
    </row>
    <row r="343" spans="13:26">
      <c r="M343" s="324">
        <f>IF(ISNUMBER(SEARCH(ZAKL_DATA!$B$29,N343)),MAX($M$2:M342)+1,0)</f>
        <v>341</v>
      </c>
      <c r="N343" s="325" t="s">
        <v>2132</v>
      </c>
      <c r="O343" s="340" t="s">
        <v>2133</v>
      </c>
      <c r="Q343" s="327" t="str">
        <f>IFERROR(VLOOKUP(ROWS($Q$3:Q343),$M$3:$N$992,2,0),"")</f>
        <v>Ostatní poskytování lidských zdrojů</v>
      </c>
      <c r="R343">
        <f>IF(ISNUMBER(SEARCH('1Př1'!$A$32,N343)),MAX($M$2:M342)+1,0)</f>
        <v>341</v>
      </c>
      <c r="S343" s="325" t="s">
        <v>2132</v>
      </c>
      <c r="T343" t="str">
        <f>IFERROR(VLOOKUP(ROWS($T$3:T343),$R$3:$S$992,2,0),"")</f>
        <v>Ostatní poskytování lidských zdrojů</v>
      </c>
      <c r="U343">
        <f>IF(ISNUMBER(SEARCH('1Př1'!$A$33,N343)),MAX($M$2:M342)+1,0)</f>
        <v>341</v>
      </c>
      <c r="V343" s="325" t="s">
        <v>2132</v>
      </c>
      <c r="W343" t="str">
        <f>IFERROR(VLOOKUP(ROWS($W$3:W343),$U$3:$V$992,2,0),"")</f>
        <v>Ostatní poskytování lidských zdrojů</v>
      </c>
      <c r="X343">
        <f>IF(ISNUMBER(SEARCH('1Př1'!$A$34,N343)),MAX($M$2:M342)+1,0)</f>
        <v>341</v>
      </c>
      <c r="Y343" s="325" t="s">
        <v>2132</v>
      </c>
      <c r="Z343" t="str">
        <f>IFERROR(VLOOKUP(ROWS($Z$3:Z343),$X$3:$Y$992,2,0),"")</f>
        <v>Ostatní poskytování lidských zdrojů</v>
      </c>
    </row>
    <row r="344" spans="13:26">
      <c r="M344" s="324">
        <f>IF(ISNUMBER(SEARCH(ZAKL_DATA!$B$29,N344)),MAX($M$2:M343)+1,0)</f>
        <v>342</v>
      </c>
      <c r="N344" s="325" t="s">
        <v>2134</v>
      </c>
      <c r="O344" s="340" t="s">
        <v>2135</v>
      </c>
      <c r="Q344" s="327" t="str">
        <f>IFERROR(VLOOKUP(ROWS($Q$3:Q344),$M$3:$N$992,2,0),"")</f>
        <v>Činnosti cestovních agentur a cestovních kanceláří</v>
      </c>
      <c r="R344">
        <f>IF(ISNUMBER(SEARCH('1Př1'!$A$32,N344)),MAX($M$2:M343)+1,0)</f>
        <v>342</v>
      </c>
      <c r="S344" s="325" t="s">
        <v>2134</v>
      </c>
      <c r="T344" t="str">
        <f>IFERROR(VLOOKUP(ROWS($T$3:T344),$R$3:$S$992,2,0),"")</f>
        <v>Činnosti cestovních agentur a cestovních kanceláří</v>
      </c>
      <c r="U344">
        <f>IF(ISNUMBER(SEARCH('1Př1'!$A$33,N344)),MAX($M$2:M343)+1,0)</f>
        <v>342</v>
      </c>
      <c r="V344" s="325" t="s">
        <v>2134</v>
      </c>
      <c r="W344" t="str">
        <f>IFERROR(VLOOKUP(ROWS($W$3:W344),$U$3:$V$992,2,0),"")</f>
        <v>Činnosti cestovních agentur a cestovních kanceláří</v>
      </c>
      <c r="X344">
        <f>IF(ISNUMBER(SEARCH('1Př1'!$A$34,N344)),MAX($M$2:M343)+1,0)</f>
        <v>342</v>
      </c>
      <c r="Y344" s="325" t="s">
        <v>2134</v>
      </c>
      <c r="Z344" t="str">
        <f>IFERROR(VLOOKUP(ROWS($Z$3:Z344),$X$3:$Y$992,2,0),"")</f>
        <v>Činnosti cestovních agentur a cestovních kanceláří</v>
      </c>
    </row>
    <row r="345" spans="13:26">
      <c r="M345" s="324">
        <f>IF(ISNUMBER(SEARCH(ZAKL_DATA!$B$29,N345)),MAX($M$2:M344)+1,0)</f>
        <v>343</v>
      </c>
      <c r="N345" s="325" t="s">
        <v>2136</v>
      </c>
      <c r="O345" s="340" t="s">
        <v>2137</v>
      </c>
      <c r="Q345" s="327" t="str">
        <f>IFERROR(VLOOKUP(ROWS($Q$3:Q345),$M$3:$N$992,2,0),"")</f>
        <v>Ostatní rezervační a související činnosti</v>
      </c>
      <c r="R345">
        <f>IF(ISNUMBER(SEARCH('1Př1'!$A$32,N345)),MAX($M$2:M344)+1,0)</f>
        <v>343</v>
      </c>
      <c r="S345" s="325" t="s">
        <v>2136</v>
      </c>
      <c r="T345" t="str">
        <f>IFERROR(VLOOKUP(ROWS($T$3:T345),$R$3:$S$992,2,0),"")</f>
        <v>Ostatní rezervační a související činnosti</v>
      </c>
      <c r="U345">
        <f>IF(ISNUMBER(SEARCH('1Př1'!$A$33,N345)),MAX($M$2:M344)+1,0)</f>
        <v>343</v>
      </c>
      <c r="V345" s="325" t="s">
        <v>2136</v>
      </c>
      <c r="W345" t="str">
        <f>IFERROR(VLOOKUP(ROWS($W$3:W345),$U$3:$V$992,2,0),"")</f>
        <v>Ostatní rezervační a související činnosti</v>
      </c>
      <c r="X345">
        <f>IF(ISNUMBER(SEARCH('1Př1'!$A$34,N345)),MAX($M$2:M344)+1,0)</f>
        <v>343</v>
      </c>
      <c r="Y345" s="325" t="s">
        <v>2136</v>
      </c>
      <c r="Z345" t="str">
        <f>IFERROR(VLOOKUP(ROWS($Z$3:Z345),$X$3:$Y$992,2,0),"")</f>
        <v>Ostatní rezervační a související činnosti</v>
      </c>
    </row>
    <row r="346" spans="13:26">
      <c r="M346" s="324">
        <f>IF(ISNUMBER(SEARCH(ZAKL_DATA!$B$29,N346)),MAX($M$2:M345)+1,0)</f>
        <v>344</v>
      </c>
      <c r="N346" s="325" t="s">
        <v>2138</v>
      </c>
      <c r="O346" s="340" t="s">
        <v>2139</v>
      </c>
      <c r="Q346" s="327" t="str">
        <f>IFERROR(VLOOKUP(ROWS($Q$3:Q346),$M$3:$N$992,2,0),"")</f>
        <v>Činnosti soukromých bezpečnostních agentur</v>
      </c>
      <c r="R346">
        <f>IF(ISNUMBER(SEARCH('1Př1'!$A$32,N346)),MAX($M$2:M345)+1,0)</f>
        <v>344</v>
      </c>
      <c r="S346" s="325" t="s">
        <v>2138</v>
      </c>
      <c r="T346" t="str">
        <f>IFERROR(VLOOKUP(ROWS($T$3:T346),$R$3:$S$992,2,0),"")</f>
        <v>Činnosti soukromých bezpečnostních agentur</v>
      </c>
      <c r="U346">
        <f>IF(ISNUMBER(SEARCH('1Př1'!$A$33,N346)),MAX($M$2:M345)+1,0)</f>
        <v>344</v>
      </c>
      <c r="V346" s="325" t="s">
        <v>2138</v>
      </c>
      <c r="W346" t="str">
        <f>IFERROR(VLOOKUP(ROWS($W$3:W346),$U$3:$V$992,2,0),"")</f>
        <v>Činnosti soukromých bezpečnostních agentur</v>
      </c>
      <c r="X346">
        <f>IF(ISNUMBER(SEARCH('1Př1'!$A$34,N346)),MAX($M$2:M345)+1,0)</f>
        <v>344</v>
      </c>
      <c r="Y346" s="325" t="s">
        <v>2138</v>
      </c>
      <c r="Z346" t="str">
        <f>IFERROR(VLOOKUP(ROWS($Z$3:Z346),$X$3:$Y$992,2,0),"")</f>
        <v>Činnosti soukromých bezpečnostních agentur</v>
      </c>
    </row>
    <row r="347" spans="13:26">
      <c r="M347" s="324">
        <f>IF(ISNUMBER(SEARCH(ZAKL_DATA!$B$29,N347)),MAX($M$2:M346)+1,0)</f>
        <v>345</v>
      </c>
      <c r="N347" s="325" t="s">
        <v>2140</v>
      </c>
      <c r="O347" s="340" t="s">
        <v>2141</v>
      </c>
      <c r="Q347" s="327" t="str">
        <f>IFERROR(VLOOKUP(ROWS($Q$3:Q347),$M$3:$N$992,2,0),"")</f>
        <v>Činnosti související s provozem bezpečnostních systémů</v>
      </c>
      <c r="R347">
        <f>IF(ISNUMBER(SEARCH('1Př1'!$A$32,N347)),MAX($M$2:M346)+1,0)</f>
        <v>345</v>
      </c>
      <c r="S347" s="325" t="s">
        <v>2140</v>
      </c>
      <c r="T347" t="str">
        <f>IFERROR(VLOOKUP(ROWS($T$3:T347),$R$3:$S$992,2,0),"")</f>
        <v>Činnosti související s provozem bezpečnostních systémů</v>
      </c>
      <c r="U347">
        <f>IF(ISNUMBER(SEARCH('1Př1'!$A$33,N347)),MAX($M$2:M346)+1,0)</f>
        <v>345</v>
      </c>
      <c r="V347" s="325" t="s">
        <v>2140</v>
      </c>
      <c r="W347" t="str">
        <f>IFERROR(VLOOKUP(ROWS($W$3:W347),$U$3:$V$992,2,0),"")</f>
        <v>Činnosti související s provozem bezpečnostních systémů</v>
      </c>
      <c r="X347">
        <f>IF(ISNUMBER(SEARCH('1Př1'!$A$34,N347)),MAX($M$2:M346)+1,0)</f>
        <v>345</v>
      </c>
      <c r="Y347" s="325" t="s">
        <v>2140</v>
      </c>
      <c r="Z347" t="str">
        <f>IFERROR(VLOOKUP(ROWS($Z$3:Z347),$X$3:$Y$992,2,0),"")</f>
        <v>Činnosti související s provozem bezpečnostních systémů</v>
      </c>
    </row>
    <row r="348" spans="13:26">
      <c r="M348" s="324">
        <f>IF(ISNUMBER(SEARCH(ZAKL_DATA!$B$29,N348)),MAX($M$2:M347)+1,0)</f>
        <v>346</v>
      </c>
      <c r="N348" s="325" t="s">
        <v>2142</v>
      </c>
      <c r="O348" s="340" t="s">
        <v>2143</v>
      </c>
      <c r="Q348" s="327" t="str">
        <f>IFERROR(VLOOKUP(ROWS($Q$3:Q348),$M$3:$N$992,2,0),"")</f>
        <v>Pátrací činnosti</v>
      </c>
      <c r="R348">
        <f>IF(ISNUMBER(SEARCH('1Př1'!$A$32,N348)),MAX($M$2:M347)+1,0)</f>
        <v>346</v>
      </c>
      <c r="S348" s="325" t="s">
        <v>2142</v>
      </c>
      <c r="T348" t="str">
        <f>IFERROR(VLOOKUP(ROWS($T$3:T348),$R$3:$S$992,2,0),"")</f>
        <v>Pátrací činnosti</v>
      </c>
      <c r="U348">
        <f>IF(ISNUMBER(SEARCH('1Př1'!$A$33,N348)),MAX($M$2:M347)+1,0)</f>
        <v>346</v>
      </c>
      <c r="V348" s="325" t="s">
        <v>2142</v>
      </c>
      <c r="W348" t="str">
        <f>IFERROR(VLOOKUP(ROWS($W$3:W348),$U$3:$V$992,2,0),"")</f>
        <v>Pátrací činnosti</v>
      </c>
      <c r="X348">
        <f>IF(ISNUMBER(SEARCH('1Př1'!$A$34,N348)),MAX($M$2:M347)+1,0)</f>
        <v>346</v>
      </c>
      <c r="Y348" s="325" t="s">
        <v>2142</v>
      </c>
      <c r="Z348" t="str">
        <f>IFERROR(VLOOKUP(ROWS($Z$3:Z348),$X$3:$Y$992,2,0),"")</f>
        <v>Pátrací činnosti</v>
      </c>
    </row>
    <row r="349" spans="13:26">
      <c r="M349" s="324">
        <f>IF(ISNUMBER(SEARCH(ZAKL_DATA!$B$29,N349)),MAX($M$2:M348)+1,0)</f>
        <v>347</v>
      </c>
      <c r="N349" s="325" t="s">
        <v>2144</v>
      </c>
      <c r="O349" s="340" t="s">
        <v>2145</v>
      </c>
      <c r="Q349" s="327" t="str">
        <f>IFERROR(VLOOKUP(ROWS($Q$3:Q349),$M$3:$N$992,2,0),"")</f>
        <v>Kombinované pomocné činnosti</v>
      </c>
      <c r="R349">
        <f>IF(ISNUMBER(SEARCH('1Př1'!$A$32,N349)),MAX($M$2:M348)+1,0)</f>
        <v>347</v>
      </c>
      <c r="S349" s="325" t="s">
        <v>2144</v>
      </c>
      <c r="T349" t="str">
        <f>IFERROR(VLOOKUP(ROWS($T$3:T349),$R$3:$S$992,2,0),"")</f>
        <v>Kombinované pomocné činnosti</v>
      </c>
      <c r="U349">
        <f>IF(ISNUMBER(SEARCH('1Př1'!$A$33,N349)),MAX($M$2:M348)+1,0)</f>
        <v>347</v>
      </c>
      <c r="V349" s="325" t="s">
        <v>2144</v>
      </c>
      <c r="W349" t="str">
        <f>IFERROR(VLOOKUP(ROWS($W$3:W349),$U$3:$V$992,2,0),"")</f>
        <v>Kombinované pomocné činnosti</v>
      </c>
      <c r="X349">
        <f>IF(ISNUMBER(SEARCH('1Př1'!$A$34,N349)),MAX($M$2:M348)+1,0)</f>
        <v>347</v>
      </c>
      <c r="Y349" s="325" t="s">
        <v>2144</v>
      </c>
      <c r="Z349" t="str">
        <f>IFERROR(VLOOKUP(ROWS($Z$3:Z349),$X$3:$Y$992,2,0),"")</f>
        <v>Kombinované pomocné činnosti</v>
      </c>
    </row>
    <row r="350" spans="13:26">
      <c r="M350" s="324">
        <f>IF(ISNUMBER(SEARCH(ZAKL_DATA!$B$29,N350)),MAX($M$2:M349)+1,0)</f>
        <v>348</v>
      </c>
      <c r="N350" s="325" t="s">
        <v>2146</v>
      </c>
      <c r="O350" s="340" t="s">
        <v>2147</v>
      </c>
      <c r="Q350" s="327" t="str">
        <f>IFERROR(VLOOKUP(ROWS($Q$3:Q350),$M$3:$N$992,2,0),"")</f>
        <v>Dobývání kamene pro výtv.nebo stav.účely,vápence,sádrovce,křídy,břidl.</v>
      </c>
      <c r="R350">
        <f>IF(ISNUMBER(SEARCH('1Př1'!$A$32,N350)),MAX($M$2:M349)+1,0)</f>
        <v>348</v>
      </c>
      <c r="S350" s="325" t="s">
        <v>2146</v>
      </c>
      <c r="T350" t="str">
        <f>IFERROR(VLOOKUP(ROWS($T$3:T350),$R$3:$S$992,2,0),"")</f>
        <v>Dobývání kamene pro výtv.nebo stav.účely,vápence,sádrovce,křídy,břidl.</v>
      </c>
      <c r="U350">
        <f>IF(ISNUMBER(SEARCH('1Př1'!$A$33,N350)),MAX($M$2:M349)+1,0)</f>
        <v>348</v>
      </c>
      <c r="V350" s="325" t="s">
        <v>2146</v>
      </c>
      <c r="W350" t="str">
        <f>IFERROR(VLOOKUP(ROWS($W$3:W350),$U$3:$V$992,2,0),"")</f>
        <v>Dobývání kamene pro výtv.nebo stav.účely,vápence,sádrovce,křídy,břidl.</v>
      </c>
      <c r="X350">
        <f>IF(ISNUMBER(SEARCH('1Př1'!$A$34,N350)),MAX($M$2:M349)+1,0)</f>
        <v>348</v>
      </c>
      <c r="Y350" s="325" t="s">
        <v>2146</v>
      </c>
      <c r="Z350" t="str">
        <f>IFERROR(VLOOKUP(ROWS($Z$3:Z350),$X$3:$Y$992,2,0),"")</f>
        <v>Dobývání kamene pro výtv.nebo stav.účely,vápence,sádrovce,křídy,břidl.</v>
      </c>
    </row>
    <row r="351" spans="13:26">
      <c r="M351" s="324">
        <f>IF(ISNUMBER(SEARCH(ZAKL_DATA!$B$29,N351)),MAX($M$2:M350)+1,0)</f>
        <v>349</v>
      </c>
      <c r="N351" s="325" t="s">
        <v>2148</v>
      </c>
      <c r="O351" s="340" t="s">
        <v>2149</v>
      </c>
      <c r="Q351" s="327" t="str">
        <f>IFERROR(VLOOKUP(ROWS($Q$3:Q351),$M$3:$N$992,2,0),"")</f>
        <v>Úklidové činnosti</v>
      </c>
      <c r="R351">
        <f>IF(ISNUMBER(SEARCH('1Př1'!$A$32,N351)),MAX($M$2:M350)+1,0)</f>
        <v>349</v>
      </c>
      <c r="S351" s="325" t="s">
        <v>2148</v>
      </c>
      <c r="T351" t="str">
        <f>IFERROR(VLOOKUP(ROWS($T$3:T351),$R$3:$S$992,2,0),"")</f>
        <v>Úklidové činnosti</v>
      </c>
      <c r="U351">
        <f>IF(ISNUMBER(SEARCH('1Př1'!$A$33,N351)),MAX($M$2:M350)+1,0)</f>
        <v>349</v>
      </c>
      <c r="V351" s="325" t="s">
        <v>2148</v>
      </c>
      <c r="W351" t="str">
        <f>IFERROR(VLOOKUP(ROWS($W$3:W351),$U$3:$V$992,2,0),"")</f>
        <v>Úklidové činnosti</v>
      </c>
      <c r="X351">
        <f>IF(ISNUMBER(SEARCH('1Př1'!$A$34,N351)),MAX($M$2:M350)+1,0)</f>
        <v>349</v>
      </c>
      <c r="Y351" s="325" t="s">
        <v>2148</v>
      </c>
      <c r="Z351" t="str">
        <f>IFERROR(VLOOKUP(ROWS($Z$3:Z351),$X$3:$Y$992,2,0),"")</f>
        <v>Úklidové činnosti</v>
      </c>
    </row>
    <row r="352" spans="13:26">
      <c r="M352" s="324">
        <f>IF(ISNUMBER(SEARCH(ZAKL_DATA!$B$29,N352)),MAX($M$2:M351)+1,0)</f>
        <v>350</v>
      </c>
      <c r="N352" s="325" t="s">
        <v>2150</v>
      </c>
      <c r="O352" s="340" t="s">
        <v>2151</v>
      </c>
      <c r="Q352" s="327" t="str">
        <f>IFERROR(VLOOKUP(ROWS($Q$3:Q352),$M$3:$N$992,2,0),"")</f>
        <v>Provoz pískoven a štěrkopískoven; těžba jílů a kaolinu</v>
      </c>
      <c r="R352">
        <f>IF(ISNUMBER(SEARCH('1Př1'!$A$32,N352)),MAX($M$2:M351)+1,0)</f>
        <v>350</v>
      </c>
      <c r="S352" s="325" t="s">
        <v>2150</v>
      </c>
      <c r="T352" t="str">
        <f>IFERROR(VLOOKUP(ROWS($T$3:T352),$R$3:$S$992,2,0),"")</f>
        <v>Provoz pískoven a štěrkopískoven; těžba jílů a kaolinu</v>
      </c>
      <c r="U352">
        <f>IF(ISNUMBER(SEARCH('1Př1'!$A$33,N352)),MAX($M$2:M351)+1,0)</f>
        <v>350</v>
      </c>
      <c r="V352" s="325" t="s">
        <v>2150</v>
      </c>
      <c r="W352" t="str">
        <f>IFERROR(VLOOKUP(ROWS($W$3:W352),$U$3:$V$992,2,0),"")</f>
        <v>Provoz pískoven a štěrkopískoven; těžba jílů a kaolinu</v>
      </c>
      <c r="X352">
        <f>IF(ISNUMBER(SEARCH('1Př1'!$A$34,N352)),MAX($M$2:M351)+1,0)</f>
        <v>350</v>
      </c>
      <c r="Y352" s="325" t="s">
        <v>2150</v>
      </c>
      <c r="Z352" t="str">
        <f>IFERROR(VLOOKUP(ROWS($Z$3:Z352),$X$3:$Y$992,2,0),"")</f>
        <v>Provoz pískoven a štěrkopískoven; těžba jílů a kaolinu</v>
      </c>
    </row>
    <row r="353" spans="13:26">
      <c r="M353" s="324">
        <f>IF(ISNUMBER(SEARCH(ZAKL_DATA!$B$29,N353)),MAX($M$2:M352)+1,0)</f>
        <v>351</v>
      </c>
      <c r="N353" s="325" t="s">
        <v>2152</v>
      </c>
      <c r="O353" s="340" t="s">
        <v>2153</v>
      </c>
      <c r="Q353" s="327" t="str">
        <f>IFERROR(VLOOKUP(ROWS($Q$3:Q353),$M$3:$N$992,2,0),"")</f>
        <v>Činnosti související s úpravou krajiny</v>
      </c>
      <c r="R353">
        <f>IF(ISNUMBER(SEARCH('1Př1'!$A$32,N353)),MAX($M$2:M352)+1,0)</f>
        <v>351</v>
      </c>
      <c r="S353" s="325" t="s">
        <v>2152</v>
      </c>
      <c r="T353" t="str">
        <f>IFERROR(VLOOKUP(ROWS($T$3:T353),$R$3:$S$992,2,0),"")</f>
        <v>Činnosti související s úpravou krajiny</v>
      </c>
      <c r="U353">
        <f>IF(ISNUMBER(SEARCH('1Př1'!$A$33,N353)),MAX($M$2:M352)+1,0)</f>
        <v>351</v>
      </c>
      <c r="V353" s="325" t="s">
        <v>2152</v>
      </c>
      <c r="W353" t="str">
        <f>IFERROR(VLOOKUP(ROWS($W$3:W353),$U$3:$V$992,2,0),"")</f>
        <v>Činnosti související s úpravou krajiny</v>
      </c>
      <c r="X353">
        <f>IF(ISNUMBER(SEARCH('1Př1'!$A$34,N353)),MAX($M$2:M352)+1,0)</f>
        <v>351</v>
      </c>
      <c r="Y353" s="325" t="s">
        <v>2152</v>
      </c>
      <c r="Z353" t="str">
        <f>IFERROR(VLOOKUP(ROWS($Z$3:Z353),$X$3:$Y$992,2,0),"")</f>
        <v>Činnosti související s úpravou krajiny</v>
      </c>
    </row>
    <row r="354" spans="13:26">
      <c r="M354" s="324">
        <f>IF(ISNUMBER(SEARCH(ZAKL_DATA!$B$29,N354)),MAX($M$2:M353)+1,0)</f>
        <v>352</v>
      </c>
      <c r="N354" s="325" t="s">
        <v>2154</v>
      </c>
      <c r="O354" s="340" t="s">
        <v>2155</v>
      </c>
      <c r="Q354" s="327" t="str">
        <f>IFERROR(VLOOKUP(ROWS($Q$3:Q354),$M$3:$N$992,2,0),"")</f>
        <v>Administrativní a kancelářské činnosti</v>
      </c>
      <c r="R354">
        <f>IF(ISNUMBER(SEARCH('1Př1'!$A$32,N354)),MAX($M$2:M353)+1,0)</f>
        <v>352</v>
      </c>
      <c r="S354" s="325" t="s">
        <v>2154</v>
      </c>
      <c r="T354" t="str">
        <f>IFERROR(VLOOKUP(ROWS($T$3:T354),$R$3:$S$992,2,0),"")</f>
        <v>Administrativní a kancelářské činnosti</v>
      </c>
      <c r="U354">
        <f>IF(ISNUMBER(SEARCH('1Př1'!$A$33,N354)),MAX($M$2:M353)+1,0)</f>
        <v>352</v>
      </c>
      <c r="V354" s="325" t="s">
        <v>2154</v>
      </c>
      <c r="W354" t="str">
        <f>IFERROR(VLOOKUP(ROWS($W$3:W354),$U$3:$V$992,2,0),"")</f>
        <v>Administrativní a kancelářské činnosti</v>
      </c>
      <c r="X354">
        <f>IF(ISNUMBER(SEARCH('1Př1'!$A$34,N354)),MAX($M$2:M353)+1,0)</f>
        <v>352</v>
      </c>
      <c r="Y354" s="325" t="s">
        <v>2154</v>
      </c>
      <c r="Z354" t="str">
        <f>IFERROR(VLOOKUP(ROWS($Z$3:Z354),$X$3:$Y$992,2,0),"")</f>
        <v>Administrativní a kancelářské činnosti</v>
      </c>
    </row>
    <row r="355" spans="13:26">
      <c r="M355" s="324">
        <f>IF(ISNUMBER(SEARCH(ZAKL_DATA!$B$29,N355)),MAX($M$2:M354)+1,0)</f>
        <v>353</v>
      </c>
      <c r="N355" s="325" t="s">
        <v>2156</v>
      </c>
      <c r="O355" s="340" t="s">
        <v>2157</v>
      </c>
      <c r="Q355" s="327" t="str">
        <f>IFERROR(VLOOKUP(ROWS($Q$3:Q355),$M$3:$N$992,2,0),"")</f>
        <v>Činnosti zprostředkovatelských středisek po telefonu</v>
      </c>
      <c r="R355">
        <f>IF(ISNUMBER(SEARCH('1Př1'!$A$32,N355)),MAX($M$2:M354)+1,0)</f>
        <v>353</v>
      </c>
      <c r="S355" s="325" t="s">
        <v>2156</v>
      </c>
      <c r="T355" t="str">
        <f>IFERROR(VLOOKUP(ROWS($T$3:T355),$R$3:$S$992,2,0),"")</f>
        <v>Činnosti zprostředkovatelských středisek po telefonu</v>
      </c>
      <c r="U355">
        <f>IF(ISNUMBER(SEARCH('1Př1'!$A$33,N355)),MAX($M$2:M354)+1,0)</f>
        <v>353</v>
      </c>
      <c r="V355" s="325" t="s">
        <v>2156</v>
      </c>
      <c r="W355" t="str">
        <f>IFERROR(VLOOKUP(ROWS($W$3:W355),$U$3:$V$992,2,0),"")</f>
        <v>Činnosti zprostředkovatelských středisek po telefonu</v>
      </c>
      <c r="X355">
        <f>IF(ISNUMBER(SEARCH('1Př1'!$A$34,N355)),MAX($M$2:M354)+1,0)</f>
        <v>353</v>
      </c>
      <c r="Y355" s="325" t="s">
        <v>2156</v>
      </c>
      <c r="Z355" t="str">
        <f>IFERROR(VLOOKUP(ROWS($Z$3:Z355),$X$3:$Y$992,2,0),"")</f>
        <v>Činnosti zprostředkovatelských středisek po telefonu</v>
      </c>
    </row>
    <row r="356" spans="13:26">
      <c r="M356" s="324">
        <f>IF(ISNUMBER(SEARCH(ZAKL_DATA!$B$29,N356)),MAX($M$2:M355)+1,0)</f>
        <v>354</v>
      </c>
      <c r="N356" s="325" t="s">
        <v>2158</v>
      </c>
      <c r="O356" s="340" t="s">
        <v>2159</v>
      </c>
      <c r="Q356" s="327" t="str">
        <f>IFERROR(VLOOKUP(ROWS($Q$3:Q356),$M$3:$N$992,2,0),"")</f>
        <v>Pořádání konferencí a hospodářských výstav</v>
      </c>
      <c r="R356">
        <f>IF(ISNUMBER(SEARCH('1Př1'!$A$32,N356)),MAX($M$2:M355)+1,0)</f>
        <v>354</v>
      </c>
      <c r="S356" s="325" t="s">
        <v>2158</v>
      </c>
      <c r="T356" t="str">
        <f>IFERROR(VLOOKUP(ROWS($T$3:T356),$R$3:$S$992,2,0),"")</f>
        <v>Pořádání konferencí a hospodářských výstav</v>
      </c>
      <c r="U356">
        <f>IF(ISNUMBER(SEARCH('1Př1'!$A$33,N356)),MAX($M$2:M355)+1,0)</f>
        <v>354</v>
      </c>
      <c r="V356" s="325" t="s">
        <v>2158</v>
      </c>
      <c r="W356" t="str">
        <f>IFERROR(VLOOKUP(ROWS($W$3:W356),$U$3:$V$992,2,0),"")</f>
        <v>Pořádání konferencí a hospodářských výstav</v>
      </c>
      <c r="X356">
        <f>IF(ISNUMBER(SEARCH('1Př1'!$A$34,N356)),MAX($M$2:M355)+1,0)</f>
        <v>354</v>
      </c>
      <c r="Y356" s="325" t="s">
        <v>2158</v>
      </c>
      <c r="Z356" t="str">
        <f>IFERROR(VLOOKUP(ROWS($Z$3:Z356),$X$3:$Y$992,2,0),"")</f>
        <v>Pořádání konferencí a hospodářských výstav</v>
      </c>
    </row>
    <row r="357" spans="13:26">
      <c r="M357" s="324">
        <f>IF(ISNUMBER(SEARCH(ZAKL_DATA!$B$29,N357)),MAX($M$2:M356)+1,0)</f>
        <v>355</v>
      </c>
      <c r="N357" s="325" t="s">
        <v>2160</v>
      </c>
      <c r="O357" s="340" t="s">
        <v>2161</v>
      </c>
      <c r="Q357" s="327" t="str">
        <f>IFERROR(VLOOKUP(ROWS($Q$3:Q357),$M$3:$N$992,2,0),"")</f>
        <v>Podpůrné činnosti pro podnikání j. n.</v>
      </c>
      <c r="R357">
        <f>IF(ISNUMBER(SEARCH('1Př1'!$A$32,N357)),MAX($M$2:M356)+1,0)</f>
        <v>355</v>
      </c>
      <c r="S357" s="325" t="s">
        <v>2160</v>
      </c>
      <c r="T357" t="str">
        <f>IFERROR(VLOOKUP(ROWS($T$3:T357),$R$3:$S$992,2,0),"")</f>
        <v>Podpůrné činnosti pro podnikání j. n.</v>
      </c>
      <c r="U357">
        <f>IF(ISNUMBER(SEARCH('1Př1'!$A$33,N357)),MAX($M$2:M356)+1,0)</f>
        <v>355</v>
      </c>
      <c r="V357" s="325" t="s">
        <v>2160</v>
      </c>
      <c r="W357" t="str">
        <f>IFERROR(VLOOKUP(ROWS($W$3:W357),$U$3:$V$992,2,0),"")</f>
        <v>Podpůrné činnosti pro podnikání j. n.</v>
      </c>
      <c r="X357">
        <f>IF(ISNUMBER(SEARCH('1Př1'!$A$34,N357)),MAX($M$2:M356)+1,0)</f>
        <v>355</v>
      </c>
      <c r="Y357" s="325" t="s">
        <v>2160</v>
      </c>
      <c r="Z357" t="str">
        <f>IFERROR(VLOOKUP(ROWS($Z$3:Z357),$X$3:$Y$992,2,0),"")</f>
        <v>Podpůrné činnosti pro podnikání j. n.</v>
      </c>
    </row>
    <row r="358" spans="13:26">
      <c r="M358" s="324">
        <f>IF(ISNUMBER(SEARCH(ZAKL_DATA!$B$29,N358)),MAX($M$2:M357)+1,0)</f>
        <v>356</v>
      </c>
      <c r="N358" s="325" t="s">
        <v>2162</v>
      </c>
      <c r="O358" s="340" t="s">
        <v>2163</v>
      </c>
      <c r="Q358" s="327" t="str">
        <f>IFERROR(VLOOKUP(ROWS($Q$3:Q358),$M$3:$N$992,2,0),"")</f>
        <v>Veřejná správa a hospodářská a sociální politika</v>
      </c>
      <c r="R358">
        <f>IF(ISNUMBER(SEARCH('1Př1'!$A$32,N358)),MAX($M$2:M357)+1,0)</f>
        <v>356</v>
      </c>
      <c r="S358" s="325" t="s">
        <v>2162</v>
      </c>
      <c r="T358" t="str">
        <f>IFERROR(VLOOKUP(ROWS($T$3:T358),$R$3:$S$992,2,0),"")</f>
        <v>Veřejná správa a hospodářská a sociální politika</v>
      </c>
      <c r="U358">
        <f>IF(ISNUMBER(SEARCH('1Př1'!$A$33,N358)),MAX($M$2:M357)+1,0)</f>
        <v>356</v>
      </c>
      <c r="V358" s="325" t="s">
        <v>2162</v>
      </c>
      <c r="W358" t="str">
        <f>IFERROR(VLOOKUP(ROWS($W$3:W358),$U$3:$V$992,2,0),"")</f>
        <v>Veřejná správa a hospodářská a sociální politika</v>
      </c>
      <c r="X358">
        <f>IF(ISNUMBER(SEARCH('1Př1'!$A$34,N358)),MAX($M$2:M357)+1,0)</f>
        <v>356</v>
      </c>
      <c r="Y358" s="325" t="s">
        <v>2162</v>
      </c>
      <c r="Z358" t="str">
        <f>IFERROR(VLOOKUP(ROWS($Z$3:Z358),$X$3:$Y$992,2,0),"")</f>
        <v>Veřejná správa a hospodářská a sociální politika</v>
      </c>
    </row>
    <row r="359" spans="13:26">
      <c r="M359" s="324">
        <f>IF(ISNUMBER(SEARCH(ZAKL_DATA!$B$29,N359)),MAX($M$2:M358)+1,0)</f>
        <v>357</v>
      </c>
      <c r="N359" s="325" t="s">
        <v>2164</v>
      </c>
      <c r="O359" s="340" t="s">
        <v>2165</v>
      </c>
      <c r="Q359" s="327" t="str">
        <f>IFERROR(VLOOKUP(ROWS($Q$3:Q359),$M$3:$N$992,2,0),"")</f>
        <v>Činnosti pro společnost jako celek</v>
      </c>
      <c r="R359">
        <f>IF(ISNUMBER(SEARCH('1Př1'!$A$32,N359)),MAX($M$2:M358)+1,0)</f>
        <v>357</v>
      </c>
      <c r="S359" s="325" t="s">
        <v>2164</v>
      </c>
      <c r="T359" t="str">
        <f>IFERROR(VLOOKUP(ROWS($T$3:T359),$R$3:$S$992,2,0),"")</f>
        <v>Činnosti pro společnost jako celek</v>
      </c>
      <c r="U359">
        <f>IF(ISNUMBER(SEARCH('1Př1'!$A$33,N359)),MAX($M$2:M358)+1,0)</f>
        <v>357</v>
      </c>
      <c r="V359" s="325" t="s">
        <v>2164</v>
      </c>
      <c r="W359" t="str">
        <f>IFERROR(VLOOKUP(ROWS($W$3:W359),$U$3:$V$992,2,0),"")</f>
        <v>Činnosti pro společnost jako celek</v>
      </c>
      <c r="X359">
        <f>IF(ISNUMBER(SEARCH('1Př1'!$A$34,N359)),MAX($M$2:M358)+1,0)</f>
        <v>357</v>
      </c>
      <c r="Y359" s="325" t="s">
        <v>2164</v>
      </c>
      <c r="Z359" t="str">
        <f>IFERROR(VLOOKUP(ROWS($Z$3:Z359),$X$3:$Y$992,2,0),"")</f>
        <v>Činnosti pro společnost jako celek</v>
      </c>
    </row>
    <row r="360" spans="13:26">
      <c r="M360" s="324">
        <f>IF(ISNUMBER(SEARCH(ZAKL_DATA!$B$29,N360)),MAX($M$2:M359)+1,0)</f>
        <v>358</v>
      </c>
      <c r="N360" s="325" t="s">
        <v>2166</v>
      </c>
      <c r="O360" s="340" t="s">
        <v>2167</v>
      </c>
      <c r="Q360" s="327" t="str">
        <f>IFERROR(VLOOKUP(ROWS($Q$3:Q360),$M$3:$N$992,2,0),"")</f>
        <v>Činnosti v oblasti povinného sociálního zabezpečení</v>
      </c>
      <c r="R360">
        <f>IF(ISNUMBER(SEARCH('1Př1'!$A$32,N360)),MAX($M$2:M359)+1,0)</f>
        <v>358</v>
      </c>
      <c r="S360" s="325" t="s">
        <v>2166</v>
      </c>
      <c r="T360" t="str">
        <f>IFERROR(VLOOKUP(ROWS($T$3:T360),$R$3:$S$992,2,0),"")</f>
        <v>Činnosti v oblasti povinného sociálního zabezpečení</v>
      </c>
      <c r="U360">
        <f>IF(ISNUMBER(SEARCH('1Př1'!$A$33,N360)),MAX($M$2:M359)+1,0)</f>
        <v>358</v>
      </c>
      <c r="V360" s="325" t="s">
        <v>2166</v>
      </c>
      <c r="W360" t="str">
        <f>IFERROR(VLOOKUP(ROWS($W$3:W360),$U$3:$V$992,2,0),"")</f>
        <v>Činnosti v oblasti povinného sociálního zabezpečení</v>
      </c>
      <c r="X360">
        <f>IF(ISNUMBER(SEARCH('1Př1'!$A$34,N360)),MAX($M$2:M359)+1,0)</f>
        <v>358</v>
      </c>
      <c r="Y360" s="325" t="s">
        <v>2166</v>
      </c>
      <c r="Z360" t="str">
        <f>IFERROR(VLOOKUP(ROWS($Z$3:Z360),$X$3:$Y$992,2,0),"")</f>
        <v>Činnosti v oblasti povinného sociálního zabezpečení</v>
      </c>
    </row>
    <row r="361" spans="13:26">
      <c r="M361" s="324">
        <f>IF(ISNUMBER(SEARCH(ZAKL_DATA!$B$29,N361)),MAX($M$2:M360)+1,0)</f>
        <v>359</v>
      </c>
      <c r="N361" s="325" t="s">
        <v>2168</v>
      </c>
      <c r="O361" s="340" t="s">
        <v>2169</v>
      </c>
      <c r="Q361" s="327" t="str">
        <f>IFERROR(VLOOKUP(ROWS($Q$3:Q361),$M$3:$N$992,2,0),"")</f>
        <v>Předškolní vzdělávání</v>
      </c>
      <c r="R361">
        <f>IF(ISNUMBER(SEARCH('1Př1'!$A$32,N361)),MAX($M$2:M360)+1,0)</f>
        <v>359</v>
      </c>
      <c r="S361" s="325" t="s">
        <v>2168</v>
      </c>
      <c r="T361" t="str">
        <f>IFERROR(VLOOKUP(ROWS($T$3:T361),$R$3:$S$992,2,0),"")</f>
        <v>Předškolní vzdělávání</v>
      </c>
      <c r="U361">
        <f>IF(ISNUMBER(SEARCH('1Př1'!$A$33,N361)),MAX($M$2:M360)+1,0)</f>
        <v>359</v>
      </c>
      <c r="V361" s="325" t="s">
        <v>2168</v>
      </c>
      <c r="W361" t="str">
        <f>IFERROR(VLOOKUP(ROWS($W$3:W361),$U$3:$V$992,2,0),"")</f>
        <v>Předškolní vzdělávání</v>
      </c>
      <c r="X361">
        <f>IF(ISNUMBER(SEARCH('1Př1'!$A$34,N361)),MAX($M$2:M360)+1,0)</f>
        <v>359</v>
      </c>
      <c r="Y361" s="325" t="s">
        <v>2168</v>
      </c>
      <c r="Z361" t="str">
        <f>IFERROR(VLOOKUP(ROWS($Z$3:Z361),$X$3:$Y$992,2,0),"")</f>
        <v>Předškolní vzdělávání</v>
      </c>
    </row>
    <row r="362" spans="13:26">
      <c r="M362" s="324">
        <f>IF(ISNUMBER(SEARCH(ZAKL_DATA!$B$29,N362)),MAX($M$2:M361)+1,0)</f>
        <v>360</v>
      </c>
      <c r="N362" s="325" t="s">
        <v>2170</v>
      </c>
      <c r="O362" s="340" t="s">
        <v>2171</v>
      </c>
      <c r="Q362" s="327" t="str">
        <f>IFERROR(VLOOKUP(ROWS($Q$3:Q362),$M$3:$N$992,2,0),"")</f>
        <v>Primární vzdělávání</v>
      </c>
      <c r="R362">
        <f>IF(ISNUMBER(SEARCH('1Př1'!$A$32,N362)),MAX($M$2:M361)+1,0)</f>
        <v>360</v>
      </c>
      <c r="S362" s="325" t="s">
        <v>2170</v>
      </c>
      <c r="T362" t="str">
        <f>IFERROR(VLOOKUP(ROWS($T$3:T362),$R$3:$S$992,2,0),"")</f>
        <v>Primární vzdělávání</v>
      </c>
      <c r="U362">
        <f>IF(ISNUMBER(SEARCH('1Př1'!$A$33,N362)),MAX($M$2:M361)+1,0)</f>
        <v>360</v>
      </c>
      <c r="V362" s="325" t="s">
        <v>2170</v>
      </c>
      <c r="W362" t="str">
        <f>IFERROR(VLOOKUP(ROWS($W$3:W362),$U$3:$V$992,2,0),"")</f>
        <v>Primární vzdělávání</v>
      </c>
      <c r="X362">
        <f>IF(ISNUMBER(SEARCH('1Př1'!$A$34,N362)),MAX($M$2:M361)+1,0)</f>
        <v>360</v>
      </c>
      <c r="Y362" s="325" t="s">
        <v>2170</v>
      </c>
      <c r="Z362" t="str">
        <f>IFERROR(VLOOKUP(ROWS($Z$3:Z362),$X$3:$Y$992,2,0),"")</f>
        <v>Primární vzdělávání</v>
      </c>
    </row>
    <row r="363" spans="13:26">
      <c r="M363" s="324">
        <f>IF(ISNUMBER(SEARCH(ZAKL_DATA!$B$29,N363)),MAX($M$2:M362)+1,0)</f>
        <v>361</v>
      </c>
      <c r="N363" s="325" t="s">
        <v>2172</v>
      </c>
      <c r="O363" s="340" t="s">
        <v>2173</v>
      </c>
      <c r="Q363" s="327" t="str">
        <f>IFERROR(VLOOKUP(ROWS($Q$3:Q363),$M$3:$N$992,2,0),"")</f>
        <v>Sekundární vzdělávání</v>
      </c>
      <c r="R363">
        <f>IF(ISNUMBER(SEARCH('1Př1'!$A$32,N363)),MAX($M$2:M362)+1,0)</f>
        <v>361</v>
      </c>
      <c r="S363" s="325" t="s">
        <v>2172</v>
      </c>
      <c r="T363" t="str">
        <f>IFERROR(VLOOKUP(ROWS($T$3:T363),$R$3:$S$992,2,0),"")</f>
        <v>Sekundární vzdělávání</v>
      </c>
      <c r="U363">
        <f>IF(ISNUMBER(SEARCH('1Př1'!$A$33,N363)),MAX($M$2:M362)+1,0)</f>
        <v>361</v>
      </c>
      <c r="V363" s="325" t="s">
        <v>2172</v>
      </c>
      <c r="W363" t="str">
        <f>IFERROR(VLOOKUP(ROWS($W$3:W363),$U$3:$V$992,2,0),"")</f>
        <v>Sekundární vzdělávání</v>
      </c>
      <c r="X363">
        <f>IF(ISNUMBER(SEARCH('1Př1'!$A$34,N363)),MAX($M$2:M362)+1,0)</f>
        <v>361</v>
      </c>
      <c r="Y363" s="325" t="s">
        <v>2172</v>
      </c>
      <c r="Z363" t="str">
        <f>IFERROR(VLOOKUP(ROWS($Z$3:Z363),$X$3:$Y$992,2,0),"")</f>
        <v>Sekundární vzdělávání</v>
      </c>
    </row>
    <row r="364" spans="13:26">
      <c r="M364" s="324">
        <f>IF(ISNUMBER(SEARCH(ZAKL_DATA!$B$29,N364)),MAX($M$2:M363)+1,0)</f>
        <v>362</v>
      </c>
      <c r="N364" s="325" t="s">
        <v>2174</v>
      </c>
      <c r="O364" s="340" t="s">
        <v>2175</v>
      </c>
      <c r="Q364" s="327" t="str">
        <f>IFERROR(VLOOKUP(ROWS($Q$3:Q364),$M$3:$N$992,2,0),"")</f>
        <v>Postsekundární vzdělávání</v>
      </c>
      <c r="R364">
        <f>IF(ISNUMBER(SEARCH('1Př1'!$A$32,N364)),MAX($M$2:M363)+1,0)</f>
        <v>362</v>
      </c>
      <c r="S364" s="325" t="s">
        <v>2174</v>
      </c>
      <c r="T364" t="str">
        <f>IFERROR(VLOOKUP(ROWS($T$3:T364),$R$3:$S$992,2,0),"")</f>
        <v>Postsekundární vzdělávání</v>
      </c>
      <c r="U364">
        <f>IF(ISNUMBER(SEARCH('1Př1'!$A$33,N364)),MAX($M$2:M363)+1,0)</f>
        <v>362</v>
      </c>
      <c r="V364" s="325" t="s">
        <v>2174</v>
      </c>
      <c r="W364" t="str">
        <f>IFERROR(VLOOKUP(ROWS($W$3:W364),$U$3:$V$992,2,0),"")</f>
        <v>Postsekundární vzdělávání</v>
      </c>
      <c r="X364">
        <f>IF(ISNUMBER(SEARCH('1Př1'!$A$34,N364)),MAX($M$2:M363)+1,0)</f>
        <v>362</v>
      </c>
      <c r="Y364" s="325" t="s">
        <v>2174</v>
      </c>
      <c r="Z364" t="str">
        <f>IFERROR(VLOOKUP(ROWS($Z$3:Z364),$X$3:$Y$992,2,0),"")</f>
        <v>Postsekundární vzdělávání</v>
      </c>
    </row>
    <row r="365" spans="13:26">
      <c r="M365" s="324">
        <f>IF(ISNUMBER(SEARCH(ZAKL_DATA!$B$29,N365)),MAX($M$2:M364)+1,0)</f>
        <v>363</v>
      </c>
      <c r="N365" s="325" t="s">
        <v>2176</v>
      </c>
      <c r="O365" s="340" t="s">
        <v>2177</v>
      </c>
      <c r="Q365" s="327" t="str">
        <f>IFERROR(VLOOKUP(ROWS($Q$3:Q365),$M$3:$N$992,2,0),"")</f>
        <v>Ostatní vzdělávání</v>
      </c>
      <c r="R365">
        <f>IF(ISNUMBER(SEARCH('1Př1'!$A$32,N365)),MAX($M$2:M364)+1,0)</f>
        <v>363</v>
      </c>
      <c r="S365" s="325" t="s">
        <v>2176</v>
      </c>
      <c r="T365" t="str">
        <f>IFERROR(VLOOKUP(ROWS($T$3:T365),$R$3:$S$992,2,0),"")</f>
        <v>Ostatní vzdělávání</v>
      </c>
      <c r="U365">
        <f>IF(ISNUMBER(SEARCH('1Př1'!$A$33,N365)),MAX($M$2:M364)+1,0)</f>
        <v>363</v>
      </c>
      <c r="V365" s="325" t="s">
        <v>2176</v>
      </c>
      <c r="W365" t="str">
        <f>IFERROR(VLOOKUP(ROWS($W$3:W365),$U$3:$V$992,2,0),"")</f>
        <v>Ostatní vzdělávání</v>
      </c>
      <c r="X365">
        <f>IF(ISNUMBER(SEARCH('1Př1'!$A$34,N365)),MAX($M$2:M364)+1,0)</f>
        <v>363</v>
      </c>
      <c r="Y365" s="325" t="s">
        <v>2176</v>
      </c>
      <c r="Z365" t="str">
        <f>IFERROR(VLOOKUP(ROWS($Z$3:Z365),$X$3:$Y$992,2,0),"")</f>
        <v>Ostatní vzdělávání</v>
      </c>
    </row>
    <row r="366" spans="13:26">
      <c r="M366" s="324">
        <f>IF(ISNUMBER(SEARCH(ZAKL_DATA!$B$29,N366)),MAX($M$2:M365)+1,0)</f>
        <v>364</v>
      </c>
      <c r="N366" s="325" t="s">
        <v>2178</v>
      </c>
      <c r="O366" s="340" t="s">
        <v>2179</v>
      </c>
      <c r="Q366" s="327" t="str">
        <f>IFERROR(VLOOKUP(ROWS($Q$3:Q366),$M$3:$N$992,2,0),"")</f>
        <v>Podpůrné činnosti ve vzdělávání</v>
      </c>
      <c r="R366">
        <f>IF(ISNUMBER(SEARCH('1Př1'!$A$32,N366)),MAX($M$2:M365)+1,0)</f>
        <v>364</v>
      </c>
      <c r="S366" s="325" t="s">
        <v>2178</v>
      </c>
      <c r="T366" t="str">
        <f>IFERROR(VLOOKUP(ROWS($T$3:T366),$R$3:$S$992,2,0),"")</f>
        <v>Podpůrné činnosti ve vzdělávání</v>
      </c>
      <c r="U366">
        <f>IF(ISNUMBER(SEARCH('1Př1'!$A$33,N366)),MAX($M$2:M365)+1,0)</f>
        <v>364</v>
      </c>
      <c r="V366" s="325" t="s">
        <v>2178</v>
      </c>
      <c r="W366" t="str">
        <f>IFERROR(VLOOKUP(ROWS($W$3:W366),$U$3:$V$992,2,0),"")</f>
        <v>Podpůrné činnosti ve vzdělávání</v>
      </c>
      <c r="X366">
        <f>IF(ISNUMBER(SEARCH('1Př1'!$A$34,N366)),MAX($M$2:M365)+1,0)</f>
        <v>364</v>
      </c>
      <c r="Y366" s="325" t="s">
        <v>2178</v>
      </c>
      <c r="Z366" t="str">
        <f>IFERROR(VLOOKUP(ROWS($Z$3:Z366),$X$3:$Y$992,2,0),"")</f>
        <v>Podpůrné činnosti ve vzdělávání</v>
      </c>
    </row>
    <row r="367" spans="13:26">
      <c r="M367" s="324">
        <f>IF(ISNUMBER(SEARCH(ZAKL_DATA!$B$29,N367)),MAX($M$2:M366)+1,0)</f>
        <v>365</v>
      </c>
      <c r="N367" s="325" t="s">
        <v>2180</v>
      </c>
      <c r="O367" s="340" t="s">
        <v>2181</v>
      </c>
      <c r="Q367" s="327" t="str">
        <f>IFERROR(VLOOKUP(ROWS($Q$3:Q367),$M$3:$N$992,2,0),"")</f>
        <v>Ústavní zdravotní péče</v>
      </c>
      <c r="R367">
        <f>IF(ISNUMBER(SEARCH('1Př1'!$A$32,N367)),MAX($M$2:M366)+1,0)</f>
        <v>365</v>
      </c>
      <c r="S367" s="325" t="s">
        <v>2180</v>
      </c>
      <c r="T367" t="str">
        <f>IFERROR(VLOOKUP(ROWS($T$3:T367),$R$3:$S$992,2,0),"")</f>
        <v>Ústavní zdravotní péče</v>
      </c>
      <c r="U367">
        <f>IF(ISNUMBER(SEARCH('1Př1'!$A$33,N367)),MAX($M$2:M366)+1,0)</f>
        <v>365</v>
      </c>
      <c r="V367" s="325" t="s">
        <v>2180</v>
      </c>
      <c r="W367" t="str">
        <f>IFERROR(VLOOKUP(ROWS($W$3:W367),$U$3:$V$992,2,0),"")</f>
        <v>Ústavní zdravotní péče</v>
      </c>
      <c r="X367">
        <f>IF(ISNUMBER(SEARCH('1Př1'!$A$34,N367)),MAX($M$2:M366)+1,0)</f>
        <v>365</v>
      </c>
      <c r="Y367" s="325" t="s">
        <v>2180</v>
      </c>
      <c r="Z367" t="str">
        <f>IFERROR(VLOOKUP(ROWS($Z$3:Z367),$X$3:$Y$992,2,0),"")</f>
        <v>Ústavní zdravotní péče</v>
      </c>
    </row>
    <row r="368" spans="13:26">
      <c r="M368" s="324">
        <f>IF(ISNUMBER(SEARCH(ZAKL_DATA!$B$29,N368)),MAX($M$2:M367)+1,0)</f>
        <v>366</v>
      </c>
      <c r="N368" s="325" t="s">
        <v>2182</v>
      </c>
      <c r="O368" s="340" t="s">
        <v>2183</v>
      </c>
      <c r="Q368" s="327" t="str">
        <f>IFERROR(VLOOKUP(ROWS($Q$3:Q368),$M$3:$N$992,2,0),"")</f>
        <v>Ambulantní a zubní zdravotní péče</v>
      </c>
      <c r="R368">
        <f>IF(ISNUMBER(SEARCH('1Př1'!$A$32,N368)),MAX($M$2:M367)+1,0)</f>
        <v>366</v>
      </c>
      <c r="S368" s="325" t="s">
        <v>2182</v>
      </c>
      <c r="T368" t="str">
        <f>IFERROR(VLOOKUP(ROWS($T$3:T368),$R$3:$S$992,2,0),"")</f>
        <v>Ambulantní a zubní zdravotní péče</v>
      </c>
      <c r="U368">
        <f>IF(ISNUMBER(SEARCH('1Př1'!$A$33,N368)),MAX($M$2:M367)+1,0)</f>
        <v>366</v>
      </c>
      <c r="V368" s="325" t="s">
        <v>2182</v>
      </c>
      <c r="W368" t="str">
        <f>IFERROR(VLOOKUP(ROWS($W$3:W368),$U$3:$V$992,2,0),"")</f>
        <v>Ambulantní a zubní zdravotní péče</v>
      </c>
      <c r="X368">
        <f>IF(ISNUMBER(SEARCH('1Př1'!$A$34,N368)),MAX($M$2:M367)+1,0)</f>
        <v>366</v>
      </c>
      <c r="Y368" s="325" t="s">
        <v>2182</v>
      </c>
      <c r="Z368" t="str">
        <f>IFERROR(VLOOKUP(ROWS($Z$3:Z368),$X$3:$Y$992,2,0),"")</f>
        <v>Ambulantní a zubní zdravotní péče</v>
      </c>
    </row>
    <row r="369" spans="13:26">
      <c r="M369" s="324">
        <f>IF(ISNUMBER(SEARCH(ZAKL_DATA!$B$29,N369)),MAX($M$2:M368)+1,0)</f>
        <v>367</v>
      </c>
      <c r="N369" s="325" t="s">
        <v>2184</v>
      </c>
      <c r="O369" s="340" t="s">
        <v>2185</v>
      </c>
      <c r="Q369" s="327" t="str">
        <f>IFERROR(VLOOKUP(ROWS($Q$3:Q369),$M$3:$N$992,2,0),"")</f>
        <v>Ostatní činnosti související se zdravotní péčí</v>
      </c>
      <c r="R369">
        <f>IF(ISNUMBER(SEARCH('1Př1'!$A$32,N369)),MAX($M$2:M368)+1,0)</f>
        <v>367</v>
      </c>
      <c r="S369" s="325" t="s">
        <v>2184</v>
      </c>
      <c r="T369" t="str">
        <f>IFERROR(VLOOKUP(ROWS($T$3:T369),$R$3:$S$992,2,0),"")</f>
        <v>Ostatní činnosti související se zdravotní péčí</v>
      </c>
      <c r="U369">
        <f>IF(ISNUMBER(SEARCH('1Př1'!$A$33,N369)),MAX($M$2:M368)+1,0)</f>
        <v>367</v>
      </c>
      <c r="V369" s="325" t="s">
        <v>2184</v>
      </c>
      <c r="W369" t="str">
        <f>IFERROR(VLOOKUP(ROWS($W$3:W369),$U$3:$V$992,2,0),"")</f>
        <v>Ostatní činnosti související se zdravotní péčí</v>
      </c>
      <c r="X369">
        <f>IF(ISNUMBER(SEARCH('1Př1'!$A$34,N369)),MAX($M$2:M368)+1,0)</f>
        <v>367</v>
      </c>
      <c r="Y369" s="325" t="s">
        <v>2184</v>
      </c>
      <c r="Z369" t="str">
        <f>IFERROR(VLOOKUP(ROWS($Z$3:Z369),$X$3:$Y$992,2,0),"")</f>
        <v>Ostatní činnosti související se zdravotní péčí</v>
      </c>
    </row>
    <row r="370" spans="13:26">
      <c r="M370" s="324">
        <f>IF(ISNUMBER(SEARCH(ZAKL_DATA!$B$29,N370)),MAX($M$2:M369)+1,0)</f>
        <v>368</v>
      </c>
      <c r="N370" s="325" t="s">
        <v>2186</v>
      </c>
      <c r="O370" s="340" t="s">
        <v>1235</v>
      </c>
      <c r="Q370" s="327" t="str">
        <f>IFERROR(VLOOKUP(ROWS($Q$3:Q370),$M$3:$N$992,2,0),"")</f>
        <v>Ústavní sociální péče</v>
      </c>
      <c r="R370">
        <f>IF(ISNUMBER(SEARCH('1Př1'!$A$32,N370)),MAX($M$2:M369)+1,0)</f>
        <v>368</v>
      </c>
      <c r="S370" s="325" t="s">
        <v>2186</v>
      </c>
      <c r="T370" t="str">
        <f>IFERROR(VLOOKUP(ROWS($T$3:T370),$R$3:$S$992,2,0),"")</f>
        <v>Ústavní sociální péče</v>
      </c>
      <c r="U370">
        <f>IF(ISNUMBER(SEARCH('1Př1'!$A$33,N370)),MAX($M$2:M369)+1,0)</f>
        <v>368</v>
      </c>
      <c r="V370" s="325" t="s">
        <v>2186</v>
      </c>
      <c r="W370" t="str">
        <f>IFERROR(VLOOKUP(ROWS($W$3:W370),$U$3:$V$992,2,0),"")</f>
        <v>Ústavní sociální péče</v>
      </c>
      <c r="X370">
        <f>IF(ISNUMBER(SEARCH('1Př1'!$A$34,N370)),MAX($M$2:M369)+1,0)</f>
        <v>368</v>
      </c>
      <c r="Y370" s="325" t="s">
        <v>2186</v>
      </c>
      <c r="Z370" t="str">
        <f>IFERROR(VLOOKUP(ROWS($Z$3:Z370),$X$3:$Y$992,2,0),"")</f>
        <v>Ústavní sociální péče</v>
      </c>
    </row>
    <row r="371" spans="13:26">
      <c r="M371" s="324">
        <f>IF(ISNUMBER(SEARCH(ZAKL_DATA!$B$29,N371)),MAX($M$2:M370)+1,0)</f>
        <v>369</v>
      </c>
      <c r="N371" s="325" t="s">
        <v>2187</v>
      </c>
      <c r="O371" s="340" t="s">
        <v>2188</v>
      </c>
      <c r="Q371" s="327" t="str">
        <f>IFERROR(VLOOKUP(ROWS($Q$3:Q371),$M$3:$N$992,2,0),"")</f>
        <v>Sociální péče ve zdravotnických zařízeních ústavní péče</v>
      </c>
      <c r="R371">
        <f>IF(ISNUMBER(SEARCH('1Př1'!$A$32,N371)),MAX($M$2:M370)+1,0)</f>
        <v>369</v>
      </c>
      <c r="S371" s="325" t="s">
        <v>2187</v>
      </c>
      <c r="T371" t="str">
        <f>IFERROR(VLOOKUP(ROWS($T$3:T371),$R$3:$S$992,2,0),"")</f>
        <v>Sociální péče ve zdravotnických zařízeních ústavní péče</v>
      </c>
      <c r="U371">
        <f>IF(ISNUMBER(SEARCH('1Př1'!$A$33,N371)),MAX($M$2:M370)+1,0)</f>
        <v>369</v>
      </c>
      <c r="V371" s="325" t="s">
        <v>2187</v>
      </c>
      <c r="W371" t="str">
        <f>IFERROR(VLOOKUP(ROWS($W$3:W371),$U$3:$V$992,2,0),"")</f>
        <v>Sociální péče ve zdravotnických zařízeních ústavní péče</v>
      </c>
      <c r="X371">
        <f>IF(ISNUMBER(SEARCH('1Př1'!$A$34,N371)),MAX($M$2:M370)+1,0)</f>
        <v>369</v>
      </c>
      <c r="Y371" s="325" t="s">
        <v>2187</v>
      </c>
      <c r="Z371" t="str">
        <f>IFERROR(VLOOKUP(ROWS($Z$3:Z371),$X$3:$Y$992,2,0),"")</f>
        <v>Sociální péče ve zdravotnických zařízeních ústavní péče</v>
      </c>
    </row>
    <row r="372" spans="13:26">
      <c r="M372" s="324">
        <f>IF(ISNUMBER(SEARCH(ZAKL_DATA!$B$29,N372)),MAX($M$2:M371)+1,0)</f>
        <v>370</v>
      </c>
      <c r="N372" s="325" t="s">
        <v>2189</v>
      </c>
      <c r="O372" s="340" t="s">
        <v>2190</v>
      </c>
      <c r="Q372" s="327" t="str">
        <f>IFERROR(VLOOKUP(ROWS($Q$3:Q372),$M$3:$N$992,2,0),"")</f>
        <v>Soc.péče v zaříz.pro osoby s chron.duš.onemoc.a osoby závislé na návyk.l.</v>
      </c>
      <c r="R372">
        <f>IF(ISNUMBER(SEARCH('1Př1'!$A$32,N372)),MAX($M$2:M371)+1,0)</f>
        <v>370</v>
      </c>
      <c r="S372" s="325" t="s">
        <v>2189</v>
      </c>
      <c r="T372" t="str">
        <f>IFERROR(VLOOKUP(ROWS($T$3:T372),$R$3:$S$992,2,0),"")</f>
        <v>Soc.péče v zaříz.pro osoby s chron.duš.onemoc.a osoby závislé na návyk.l.</v>
      </c>
      <c r="U372">
        <f>IF(ISNUMBER(SEARCH('1Př1'!$A$33,N372)),MAX($M$2:M371)+1,0)</f>
        <v>370</v>
      </c>
      <c r="V372" s="325" t="s">
        <v>2189</v>
      </c>
      <c r="W372" t="str">
        <f>IFERROR(VLOOKUP(ROWS($W$3:W372),$U$3:$V$992,2,0),"")</f>
        <v>Soc.péče v zaříz.pro osoby s chron.duš.onemoc.a osoby závislé na návyk.l.</v>
      </c>
      <c r="X372">
        <f>IF(ISNUMBER(SEARCH('1Př1'!$A$34,N372)),MAX($M$2:M371)+1,0)</f>
        <v>370</v>
      </c>
      <c r="Y372" s="325" t="s">
        <v>2189</v>
      </c>
      <c r="Z372" t="str">
        <f>IFERROR(VLOOKUP(ROWS($Z$3:Z372),$X$3:$Y$992,2,0),"")</f>
        <v>Soc.péče v zaříz.pro osoby s chron.duš.onemoc.a osoby závislé na návyk.l.</v>
      </c>
    </row>
    <row r="373" spans="13:26">
      <c r="M373" s="324">
        <f>IF(ISNUMBER(SEARCH(ZAKL_DATA!$B$29,N373)),MAX($M$2:M372)+1,0)</f>
        <v>371</v>
      </c>
      <c r="N373" s="325" t="s">
        <v>2191</v>
      </c>
      <c r="O373" s="340" t="s">
        <v>2192</v>
      </c>
      <c r="Q373" s="327" t="str">
        <f>IFERROR(VLOOKUP(ROWS($Q$3:Q373),$M$3:$N$992,2,0),"")</f>
        <v>Sociální péče v domovech pro seniory a osoby se zdravotním postižením</v>
      </c>
      <c r="R373">
        <f>IF(ISNUMBER(SEARCH('1Př1'!$A$32,N373)),MAX($M$2:M372)+1,0)</f>
        <v>371</v>
      </c>
      <c r="S373" s="325" t="s">
        <v>2191</v>
      </c>
      <c r="T373" t="str">
        <f>IFERROR(VLOOKUP(ROWS($T$3:T373),$R$3:$S$992,2,0),"")</f>
        <v>Sociální péče v domovech pro seniory a osoby se zdravotním postižením</v>
      </c>
      <c r="U373">
        <f>IF(ISNUMBER(SEARCH('1Př1'!$A$33,N373)),MAX($M$2:M372)+1,0)</f>
        <v>371</v>
      </c>
      <c r="V373" s="325" t="s">
        <v>2191</v>
      </c>
      <c r="W373" t="str">
        <f>IFERROR(VLOOKUP(ROWS($W$3:W373),$U$3:$V$992,2,0),"")</f>
        <v>Sociální péče v domovech pro seniory a osoby se zdravotním postižením</v>
      </c>
      <c r="X373">
        <f>IF(ISNUMBER(SEARCH('1Př1'!$A$34,N373)),MAX($M$2:M372)+1,0)</f>
        <v>371</v>
      </c>
      <c r="Y373" s="325" t="s">
        <v>2191</v>
      </c>
      <c r="Z373" t="str">
        <f>IFERROR(VLOOKUP(ROWS($Z$3:Z373),$X$3:$Y$992,2,0),"")</f>
        <v>Sociální péče v domovech pro seniory a osoby se zdravotním postižením</v>
      </c>
    </row>
    <row r="374" spans="13:26">
      <c r="M374" s="324">
        <f>IF(ISNUMBER(SEARCH(ZAKL_DATA!$B$29,N374)),MAX($M$2:M373)+1,0)</f>
        <v>372</v>
      </c>
      <c r="N374" s="325" t="s">
        <v>2193</v>
      </c>
      <c r="O374" s="340" t="s">
        <v>2194</v>
      </c>
      <c r="Q374" s="327" t="str">
        <f>IFERROR(VLOOKUP(ROWS($Q$3:Q374),$M$3:$N$992,2,0),"")</f>
        <v>Ostatní pobytové služby sociální péče</v>
      </c>
      <c r="R374">
        <f>IF(ISNUMBER(SEARCH('1Př1'!$A$32,N374)),MAX($M$2:M373)+1,0)</f>
        <v>372</v>
      </c>
      <c r="S374" s="325" t="s">
        <v>2193</v>
      </c>
      <c r="T374" t="str">
        <f>IFERROR(VLOOKUP(ROWS($T$3:T374),$R$3:$S$992,2,0),"")</f>
        <v>Ostatní pobytové služby sociální péče</v>
      </c>
      <c r="U374">
        <f>IF(ISNUMBER(SEARCH('1Př1'!$A$33,N374)),MAX($M$2:M373)+1,0)</f>
        <v>372</v>
      </c>
      <c r="V374" s="325" t="s">
        <v>2193</v>
      </c>
      <c r="W374" t="str">
        <f>IFERROR(VLOOKUP(ROWS($W$3:W374),$U$3:$V$992,2,0),"")</f>
        <v>Ostatní pobytové služby sociální péče</v>
      </c>
      <c r="X374">
        <f>IF(ISNUMBER(SEARCH('1Př1'!$A$34,N374)),MAX($M$2:M373)+1,0)</f>
        <v>372</v>
      </c>
      <c r="Y374" s="325" t="s">
        <v>2193</v>
      </c>
      <c r="Z374" t="str">
        <f>IFERROR(VLOOKUP(ROWS($Z$3:Z374),$X$3:$Y$992,2,0),"")</f>
        <v>Ostatní pobytové služby sociální péče</v>
      </c>
    </row>
    <row r="375" spans="13:26">
      <c r="M375" s="324">
        <f>IF(ISNUMBER(SEARCH(ZAKL_DATA!$B$29,N375)),MAX($M$2:M374)+1,0)</f>
        <v>373</v>
      </c>
      <c r="N375" s="325" t="s">
        <v>2195</v>
      </c>
      <c r="O375" s="340" t="s">
        <v>2196</v>
      </c>
      <c r="Q375" s="327" t="str">
        <f>IFERROR(VLOOKUP(ROWS($Q$3:Q375),$M$3:$N$992,2,0),"")</f>
        <v>Ambulantní nebo terénní soc.služby pro seniory a osoby se zdrav.postižením</v>
      </c>
      <c r="R375">
        <f>IF(ISNUMBER(SEARCH('1Př1'!$A$32,N375)),MAX($M$2:M374)+1,0)</f>
        <v>373</v>
      </c>
      <c r="S375" s="325" t="s">
        <v>2195</v>
      </c>
      <c r="T375" t="str">
        <f>IFERROR(VLOOKUP(ROWS($T$3:T375),$R$3:$S$992,2,0),"")</f>
        <v>Ambulantní nebo terénní soc.služby pro seniory a osoby se zdrav.postižením</v>
      </c>
      <c r="U375">
        <f>IF(ISNUMBER(SEARCH('1Př1'!$A$33,N375)),MAX($M$2:M374)+1,0)</f>
        <v>373</v>
      </c>
      <c r="V375" s="325" t="s">
        <v>2195</v>
      </c>
      <c r="W375" t="str">
        <f>IFERROR(VLOOKUP(ROWS($W$3:W375),$U$3:$V$992,2,0),"")</f>
        <v>Ambulantní nebo terénní soc.služby pro seniory a osoby se zdrav.postižením</v>
      </c>
      <c r="X375">
        <f>IF(ISNUMBER(SEARCH('1Př1'!$A$34,N375)),MAX($M$2:M374)+1,0)</f>
        <v>373</v>
      </c>
      <c r="Y375" s="325" t="s">
        <v>2195</v>
      </c>
      <c r="Z375" t="str">
        <f>IFERROR(VLOOKUP(ROWS($Z$3:Z375),$X$3:$Y$992,2,0),"")</f>
        <v>Ambulantní nebo terénní soc.služby pro seniory a osoby se zdrav.postižením</v>
      </c>
    </row>
    <row r="376" spans="13:26">
      <c r="M376" s="324">
        <f>IF(ISNUMBER(SEARCH(ZAKL_DATA!$B$29,N376)),MAX($M$2:M375)+1,0)</f>
        <v>374</v>
      </c>
      <c r="N376" s="325" t="s">
        <v>2197</v>
      </c>
      <c r="O376" s="340" t="s">
        <v>2198</v>
      </c>
      <c r="Q376" s="327" t="str">
        <f>IFERROR(VLOOKUP(ROWS($Q$3:Q376),$M$3:$N$992,2,0),"")</f>
        <v>Ostatní ambulantní nebo terénní sociální služby</v>
      </c>
      <c r="R376">
        <f>IF(ISNUMBER(SEARCH('1Př1'!$A$32,N376)),MAX($M$2:M375)+1,0)</f>
        <v>374</v>
      </c>
      <c r="S376" s="325" t="s">
        <v>2197</v>
      </c>
      <c r="T376" t="str">
        <f>IFERROR(VLOOKUP(ROWS($T$3:T376),$R$3:$S$992,2,0),"")</f>
        <v>Ostatní ambulantní nebo terénní sociální služby</v>
      </c>
      <c r="U376">
        <f>IF(ISNUMBER(SEARCH('1Př1'!$A$33,N376)),MAX($M$2:M375)+1,0)</f>
        <v>374</v>
      </c>
      <c r="V376" s="325" t="s">
        <v>2197</v>
      </c>
      <c r="W376" t="str">
        <f>IFERROR(VLOOKUP(ROWS($W$3:W376),$U$3:$V$992,2,0),"")</f>
        <v>Ostatní ambulantní nebo terénní sociální služby</v>
      </c>
      <c r="X376">
        <f>IF(ISNUMBER(SEARCH('1Př1'!$A$34,N376)),MAX($M$2:M375)+1,0)</f>
        <v>374</v>
      </c>
      <c r="Y376" s="325" t="s">
        <v>2197</v>
      </c>
      <c r="Z376" t="str">
        <f>IFERROR(VLOOKUP(ROWS($Z$3:Z376),$X$3:$Y$992,2,0),"")</f>
        <v>Ostatní ambulantní nebo terénní sociální služby</v>
      </c>
    </row>
    <row r="377" spans="13:26">
      <c r="M377" s="324">
        <f>IF(ISNUMBER(SEARCH(ZAKL_DATA!$B$29,N377)),MAX($M$2:M376)+1,0)</f>
        <v>375</v>
      </c>
      <c r="N377" s="325" t="s">
        <v>2199</v>
      </c>
      <c r="O377" s="340" t="s">
        <v>2200</v>
      </c>
      <c r="Q377" s="327" t="str">
        <f>IFERROR(VLOOKUP(ROWS($Q$3:Q377),$M$3:$N$992,2,0),"")</f>
        <v>Těžba chemických minerálů a minerálů pro výrobu hnojiv</v>
      </c>
      <c r="R377">
        <f>IF(ISNUMBER(SEARCH('1Př1'!$A$32,N377)),MAX($M$2:M376)+1,0)</f>
        <v>375</v>
      </c>
      <c r="S377" s="325" t="s">
        <v>2199</v>
      </c>
      <c r="T377" t="str">
        <f>IFERROR(VLOOKUP(ROWS($T$3:T377),$R$3:$S$992,2,0),"")</f>
        <v>Těžba chemických minerálů a minerálů pro výrobu hnojiv</v>
      </c>
      <c r="U377">
        <f>IF(ISNUMBER(SEARCH('1Př1'!$A$33,N377)),MAX($M$2:M376)+1,0)</f>
        <v>375</v>
      </c>
      <c r="V377" s="325" t="s">
        <v>2199</v>
      </c>
      <c r="W377" t="str">
        <f>IFERROR(VLOOKUP(ROWS($W$3:W377),$U$3:$V$992,2,0),"")</f>
        <v>Těžba chemických minerálů a minerálů pro výrobu hnojiv</v>
      </c>
      <c r="X377">
        <f>IF(ISNUMBER(SEARCH('1Př1'!$A$34,N377)),MAX($M$2:M376)+1,0)</f>
        <v>375</v>
      </c>
      <c r="Y377" s="325" t="s">
        <v>2199</v>
      </c>
      <c r="Z377" t="str">
        <f>IFERROR(VLOOKUP(ROWS($Z$3:Z377),$X$3:$Y$992,2,0),"")</f>
        <v>Těžba chemických minerálů a minerálů pro výrobu hnojiv</v>
      </c>
    </row>
    <row r="378" spans="13:26">
      <c r="M378" s="324">
        <f>IF(ISNUMBER(SEARCH(ZAKL_DATA!$B$29,N378)),MAX($M$2:M377)+1,0)</f>
        <v>376</v>
      </c>
      <c r="N378" s="325" t="s">
        <v>2201</v>
      </c>
      <c r="O378" s="340" t="s">
        <v>2202</v>
      </c>
      <c r="Q378" s="327" t="str">
        <f>IFERROR(VLOOKUP(ROWS($Q$3:Q378),$M$3:$N$992,2,0),"")</f>
        <v>Těžba rašeliny</v>
      </c>
      <c r="R378">
        <f>IF(ISNUMBER(SEARCH('1Př1'!$A$32,N378)),MAX($M$2:M377)+1,0)</f>
        <v>376</v>
      </c>
      <c r="S378" s="325" t="s">
        <v>2201</v>
      </c>
      <c r="T378" t="str">
        <f>IFERROR(VLOOKUP(ROWS($T$3:T378),$R$3:$S$992,2,0),"")</f>
        <v>Těžba rašeliny</v>
      </c>
      <c r="U378">
        <f>IF(ISNUMBER(SEARCH('1Př1'!$A$33,N378)),MAX($M$2:M377)+1,0)</f>
        <v>376</v>
      </c>
      <c r="V378" s="325" t="s">
        <v>2201</v>
      </c>
      <c r="W378" t="str">
        <f>IFERROR(VLOOKUP(ROWS($W$3:W378),$U$3:$V$992,2,0),"")</f>
        <v>Těžba rašeliny</v>
      </c>
      <c r="X378">
        <f>IF(ISNUMBER(SEARCH('1Př1'!$A$34,N378)),MAX($M$2:M377)+1,0)</f>
        <v>376</v>
      </c>
      <c r="Y378" s="325" t="s">
        <v>2201</v>
      </c>
      <c r="Z378" t="str">
        <f>IFERROR(VLOOKUP(ROWS($Z$3:Z378),$X$3:$Y$992,2,0),"")</f>
        <v>Těžba rašeliny</v>
      </c>
    </row>
    <row r="379" spans="13:26">
      <c r="M379" s="324">
        <f>IF(ISNUMBER(SEARCH(ZAKL_DATA!$B$29,N379)),MAX($M$2:M378)+1,0)</f>
        <v>377</v>
      </c>
      <c r="N379" s="325" t="s">
        <v>2203</v>
      </c>
      <c r="O379" s="340" t="s">
        <v>2204</v>
      </c>
      <c r="Q379" s="327" t="str">
        <f>IFERROR(VLOOKUP(ROWS($Q$3:Q379),$M$3:$N$992,2,0),"")</f>
        <v>Těžba soli</v>
      </c>
      <c r="R379">
        <f>IF(ISNUMBER(SEARCH('1Př1'!$A$32,N379)),MAX($M$2:M378)+1,0)</f>
        <v>377</v>
      </c>
      <c r="S379" s="325" t="s">
        <v>2203</v>
      </c>
      <c r="T379" t="str">
        <f>IFERROR(VLOOKUP(ROWS($T$3:T379),$R$3:$S$992,2,0),"")</f>
        <v>Těžba soli</v>
      </c>
      <c r="U379">
        <f>IF(ISNUMBER(SEARCH('1Př1'!$A$33,N379)),MAX($M$2:M378)+1,0)</f>
        <v>377</v>
      </c>
      <c r="V379" s="325" t="s">
        <v>2203</v>
      </c>
      <c r="W379" t="str">
        <f>IFERROR(VLOOKUP(ROWS($W$3:W379),$U$3:$V$992,2,0),"")</f>
        <v>Těžba soli</v>
      </c>
      <c r="X379">
        <f>IF(ISNUMBER(SEARCH('1Př1'!$A$34,N379)),MAX($M$2:M378)+1,0)</f>
        <v>377</v>
      </c>
      <c r="Y379" s="325" t="s">
        <v>2203</v>
      </c>
      <c r="Z379" t="str">
        <f>IFERROR(VLOOKUP(ROWS($Z$3:Z379),$X$3:$Y$992,2,0),"")</f>
        <v>Těžba soli</v>
      </c>
    </row>
    <row r="380" spans="13:26">
      <c r="M380" s="324">
        <f>IF(ISNUMBER(SEARCH(ZAKL_DATA!$B$29,N380)),MAX($M$2:M379)+1,0)</f>
        <v>378</v>
      </c>
      <c r="N380" s="325" t="s">
        <v>2205</v>
      </c>
      <c r="O380" s="340" t="s">
        <v>2206</v>
      </c>
      <c r="Q380" s="327" t="str">
        <f>IFERROR(VLOOKUP(ROWS($Q$3:Q380),$M$3:$N$992,2,0),"")</f>
        <v>Ostatní těžba a dobývání j. n.</v>
      </c>
      <c r="R380">
        <f>IF(ISNUMBER(SEARCH('1Př1'!$A$32,N380)),MAX($M$2:M379)+1,0)</f>
        <v>378</v>
      </c>
      <c r="S380" s="325" t="s">
        <v>2205</v>
      </c>
      <c r="T380" t="str">
        <f>IFERROR(VLOOKUP(ROWS($T$3:T380),$R$3:$S$992,2,0),"")</f>
        <v>Ostatní těžba a dobývání j. n.</v>
      </c>
      <c r="U380">
        <f>IF(ISNUMBER(SEARCH('1Př1'!$A$33,N380)),MAX($M$2:M379)+1,0)</f>
        <v>378</v>
      </c>
      <c r="V380" s="325" t="s">
        <v>2205</v>
      </c>
      <c r="W380" t="str">
        <f>IFERROR(VLOOKUP(ROWS($W$3:W380),$U$3:$V$992,2,0),"")</f>
        <v>Ostatní těžba a dobývání j. n.</v>
      </c>
      <c r="X380">
        <f>IF(ISNUMBER(SEARCH('1Př1'!$A$34,N380)),MAX($M$2:M379)+1,0)</f>
        <v>378</v>
      </c>
      <c r="Y380" s="325" t="s">
        <v>2205</v>
      </c>
      <c r="Z380" t="str">
        <f>IFERROR(VLOOKUP(ROWS($Z$3:Z380),$X$3:$Y$992,2,0),"")</f>
        <v>Ostatní těžba a dobývání j. n.</v>
      </c>
    </row>
    <row r="381" spans="13:26">
      <c r="M381" s="324">
        <f>IF(ISNUMBER(SEARCH(ZAKL_DATA!$B$29,N381)),MAX($M$2:M380)+1,0)</f>
        <v>379</v>
      </c>
      <c r="N381" s="325" t="s">
        <v>2207</v>
      </c>
      <c r="O381" s="340" t="s">
        <v>2208</v>
      </c>
      <c r="Q381" s="327" t="str">
        <f>IFERROR(VLOOKUP(ROWS($Q$3:Q381),$M$3:$N$992,2,0),"")</f>
        <v>Sportovní činnosti</v>
      </c>
      <c r="R381">
        <f>IF(ISNUMBER(SEARCH('1Př1'!$A$32,N381)),MAX($M$2:M380)+1,0)</f>
        <v>379</v>
      </c>
      <c r="S381" s="325" t="s">
        <v>2207</v>
      </c>
      <c r="T381" t="str">
        <f>IFERROR(VLOOKUP(ROWS($T$3:T381),$R$3:$S$992,2,0),"")</f>
        <v>Sportovní činnosti</v>
      </c>
      <c r="U381">
        <f>IF(ISNUMBER(SEARCH('1Př1'!$A$33,N381)),MAX($M$2:M380)+1,0)</f>
        <v>379</v>
      </c>
      <c r="V381" s="325" t="s">
        <v>2207</v>
      </c>
      <c r="W381" t="str">
        <f>IFERROR(VLOOKUP(ROWS($W$3:W381),$U$3:$V$992,2,0),"")</f>
        <v>Sportovní činnosti</v>
      </c>
      <c r="X381">
        <f>IF(ISNUMBER(SEARCH('1Př1'!$A$34,N381)),MAX($M$2:M380)+1,0)</f>
        <v>379</v>
      </c>
      <c r="Y381" s="325" t="s">
        <v>2207</v>
      </c>
      <c r="Z381" t="str">
        <f>IFERROR(VLOOKUP(ROWS($Z$3:Z381),$X$3:$Y$992,2,0),"")</f>
        <v>Sportovní činnosti</v>
      </c>
    </row>
    <row r="382" spans="13:26">
      <c r="M382" s="324">
        <f>IF(ISNUMBER(SEARCH(ZAKL_DATA!$B$29,N382)),MAX($M$2:M381)+1,0)</f>
        <v>380</v>
      </c>
      <c r="N382" s="325" t="s">
        <v>2209</v>
      </c>
      <c r="O382" s="340" t="s">
        <v>2210</v>
      </c>
      <c r="Q382" s="327" t="str">
        <f>IFERROR(VLOOKUP(ROWS($Q$3:Q382),$M$3:$N$992,2,0),"")</f>
        <v>Ostatní zábavní a rekreační činnosti</v>
      </c>
      <c r="R382">
        <f>IF(ISNUMBER(SEARCH('1Př1'!$A$32,N382)),MAX($M$2:M381)+1,0)</f>
        <v>380</v>
      </c>
      <c r="S382" s="325" t="s">
        <v>2209</v>
      </c>
      <c r="T382" t="str">
        <f>IFERROR(VLOOKUP(ROWS($T$3:T382),$R$3:$S$992,2,0),"")</f>
        <v>Ostatní zábavní a rekreační činnosti</v>
      </c>
      <c r="U382">
        <f>IF(ISNUMBER(SEARCH('1Př1'!$A$33,N382)),MAX($M$2:M381)+1,0)</f>
        <v>380</v>
      </c>
      <c r="V382" s="325" t="s">
        <v>2209</v>
      </c>
      <c r="W382" t="str">
        <f>IFERROR(VLOOKUP(ROWS($W$3:W382),$U$3:$V$992,2,0),"")</f>
        <v>Ostatní zábavní a rekreační činnosti</v>
      </c>
      <c r="X382">
        <f>IF(ISNUMBER(SEARCH('1Př1'!$A$34,N382)),MAX($M$2:M381)+1,0)</f>
        <v>380</v>
      </c>
      <c r="Y382" s="325" t="s">
        <v>2209</v>
      </c>
      <c r="Z382" t="str">
        <f>IFERROR(VLOOKUP(ROWS($Z$3:Z382),$X$3:$Y$992,2,0),"")</f>
        <v>Ostatní zábavní a rekreační činnosti</v>
      </c>
    </row>
    <row r="383" spans="13:26">
      <c r="M383" s="324">
        <f>IF(ISNUMBER(SEARCH(ZAKL_DATA!$B$29,N383)),MAX($M$2:M382)+1,0)</f>
        <v>381</v>
      </c>
      <c r="N383" s="325" t="s">
        <v>2211</v>
      </c>
      <c r="O383" s="340" t="s">
        <v>2212</v>
      </c>
      <c r="Q383" s="327" t="str">
        <f>IFERROR(VLOOKUP(ROWS($Q$3:Q383),$M$3:$N$992,2,0),"")</f>
        <v>Činnosti podnikatelských, zaměstnavatelských a profesních organizací</v>
      </c>
      <c r="R383">
        <f>IF(ISNUMBER(SEARCH('1Př1'!$A$32,N383)),MAX($M$2:M382)+1,0)</f>
        <v>381</v>
      </c>
      <c r="S383" s="325" t="s">
        <v>2211</v>
      </c>
      <c r="T383" t="str">
        <f>IFERROR(VLOOKUP(ROWS($T$3:T383),$R$3:$S$992,2,0),"")</f>
        <v>Činnosti podnikatelských, zaměstnavatelských a profesních organizací</v>
      </c>
      <c r="U383">
        <f>IF(ISNUMBER(SEARCH('1Př1'!$A$33,N383)),MAX($M$2:M382)+1,0)</f>
        <v>381</v>
      </c>
      <c r="V383" s="325" t="s">
        <v>2211</v>
      </c>
      <c r="W383" t="str">
        <f>IFERROR(VLOOKUP(ROWS($W$3:W383),$U$3:$V$992,2,0),"")</f>
        <v>Činnosti podnikatelských, zaměstnavatelských a profesních organizací</v>
      </c>
      <c r="X383">
        <f>IF(ISNUMBER(SEARCH('1Př1'!$A$34,N383)),MAX($M$2:M382)+1,0)</f>
        <v>381</v>
      </c>
      <c r="Y383" s="325" t="s">
        <v>2211</v>
      </c>
      <c r="Z383" t="str">
        <f>IFERROR(VLOOKUP(ROWS($Z$3:Z383),$X$3:$Y$992,2,0),"")</f>
        <v>Činnosti podnikatelských, zaměstnavatelských a profesních organizací</v>
      </c>
    </row>
    <row r="384" spans="13:26">
      <c r="M384" s="324">
        <f>IF(ISNUMBER(SEARCH(ZAKL_DATA!$B$29,N384)),MAX($M$2:M383)+1,0)</f>
        <v>382</v>
      </c>
      <c r="N384" s="325" t="s">
        <v>2213</v>
      </c>
      <c r="O384" s="340" t="s">
        <v>2214</v>
      </c>
      <c r="Q384" s="327" t="str">
        <f>IFERROR(VLOOKUP(ROWS($Q$3:Q384),$M$3:$N$992,2,0),"")</f>
        <v>Činnosti odborových svazů</v>
      </c>
      <c r="R384">
        <f>IF(ISNUMBER(SEARCH('1Př1'!$A$32,N384)),MAX($M$2:M383)+1,0)</f>
        <v>382</v>
      </c>
      <c r="S384" s="325" t="s">
        <v>2213</v>
      </c>
      <c r="T384" t="str">
        <f>IFERROR(VLOOKUP(ROWS($T$3:T384),$R$3:$S$992,2,0),"")</f>
        <v>Činnosti odborových svazů</v>
      </c>
      <c r="U384">
        <f>IF(ISNUMBER(SEARCH('1Př1'!$A$33,N384)),MAX($M$2:M383)+1,0)</f>
        <v>382</v>
      </c>
      <c r="V384" s="325" t="s">
        <v>2213</v>
      </c>
      <c r="W384" t="str">
        <f>IFERROR(VLOOKUP(ROWS($W$3:W384),$U$3:$V$992,2,0),"")</f>
        <v>Činnosti odborových svazů</v>
      </c>
      <c r="X384">
        <f>IF(ISNUMBER(SEARCH('1Př1'!$A$34,N384)),MAX($M$2:M383)+1,0)</f>
        <v>382</v>
      </c>
      <c r="Y384" s="325" t="s">
        <v>2213</v>
      </c>
      <c r="Z384" t="str">
        <f>IFERROR(VLOOKUP(ROWS($Z$3:Z384),$X$3:$Y$992,2,0),"")</f>
        <v>Činnosti odborových svazů</v>
      </c>
    </row>
    <row r="385" spans="13:26">
      <c r="M385" s="324">
        <f>IF(ISNUMBER(SEARCH(ZAKL_DATA!$B$29,N385)),MAX($M$2:M384)+1,0)</f>
        <v>383</v>
      </c>
      <c r="N385" s="325" t="s">
        <v>2215</v>
      </c>
      <c r="O385" s="340" t="s">
        <v>2216</v>
      </c>
      <c r="Q385" s="327" t="str">
        <f>IFERROR(VLOOKUP(ROWS($Q$3:Q385),$M$3:$N$992,2,0),"")</f>
        <v>Činnosti ost.org.sdružujících osoby za účelem prosazování společných zájmů</v>
      </c>
      <c r="R385">
        <f>IF(ISNUMBER(SEARCH('1Př1'!$A$32,N385)),MAX($M$2:M384)+1,0)</f>
        <v>383</v>
      </c>
      <c r="S385" s="325" t="s">
        <v>2215</v>
      </c>
      <c r="T385" t="str">
        <f>IFERROR(VLOOKUP(ROWS($T$3:T385),$R$3:$S$992,2,0),"")</f>
        <v>Činnosti ost.org.sdružujících osoby za účelem prosazování společných zájmů</v>
      </c>
      <c r="U385">
        <f>IF(ISNUMBER(SEARCH('1Př1'!$A$33,N385)),MAX($M$2:M384)+1,0)</f>
        <v>383</v>
      </c>
      <c r="V385" s="325" t="s">
        <v>2215</v>
      </c>
      <c r="W385" t="str">
        <f>IFERROR(VLOOKUP(ROWS($W$3:W385),$U$3:$V$992,2,0),"")</f>
        <v>Činnosti ost.org.sdružujících osoby za účelem prosazování společných zájmů</v>
      </c>
      <c r="X385">
        <f>IF(ISNUMBER(SEARCH('1Př1'!$A$34,N385)),MAX($M$2:M384)+1,0)</f>
        <v>383</v>
      </c>
      <c r="Y385" s="325" t="s">
        <v>2215</v>
      </c>
      <c r="Z385" t="str">
        <f>IFERROR(VLOOKUP(ROWS($Z$3:Z385),$X$3:$Y$992,2,0),"")</f>
        <v>Činnosti ost.org.sdružujících osoby za účelem prosazování společných zájmů</v>
      </c>
    </row>
    <row r="386" spans="13:26">
      <c r="M386" s="324">
        <f>IF(ISNUMBER(SEARCH(ZAKL_DATA!$B$29,N386)),MAX($M$2:M385)+1,0)</f>
        <v>384</v>
      </c>
      <c r="N386" s="325" t="s">
        <v>2217</v>
      </c>
      <c r="O386" s="340" t="s">
        <v>2218</v>
      </c>
      <c r="Q386" s="327" t="str">
        <f>IFERROR(VLOOKUP(ROWS($Q$3:Q386),$M$3:$N$992,2,0),"")</f>
        <v>Opravy počítačů a komunikačních zařízení</v>
      </c>
      <c r="R386">
        <f>IF(ISNUMBER(SEARCH('1Př1'!$A$32,N386)),MAX($M$2:M385)+1,0)</f>
        <v>384</v>
      </c>
      <c r="S386" s="325" t="s">
        <v>2217</v>
      </c>
      <c r="T386" t="str">
        <f>IFERROR(VLOOKUP(ROWS($T$3:T386),$R$3:$S$992,2,0),"")</f>
        <v>Opravy počítačů a komunikačních zařízení</v>
      </c>
      <c r="U386">
        <f>IF(ISNUMBER(SEARCH('1Př1'!$A$33,N386)),MAX($M$2:M385)+1,0)</f>
        <v>384</v>
      </c>
      <c r="V386" s="325" t="s">
        <v>2217</v>
      </c>
      <c r="W386" t="str">
        <f>IFERROR(VLOOKUP(ROWS($W$3:W386),$U$3:$V$992,2,0),"")</f>
        <v>Opravy počítačů a komunikačních zařízení</v>
      </c>
      <c r="X386">
        <f>IF(ISNUMBER(SEARCH('1Př1'!$A$34,N386)),MAX($M$2:M385)+1,0)</f>
        <v>384</v>
      </c>
      <c r="Y386" s="325" t="s">
        <v>2217</v>
      </c>
      <c r="Z386" t="str">
        <f>IFERROR(VLOOKUP(ROWS($Z$3:Z386),$X$3:$Y$992,2,0),"")</f>
        <v>Opravy počítačů a komunikačních zařízení</v>
      </c>
    </row>
    <row r="387" spans="13:26">
      <c r="M387" s="324">
        <f>IF(ISNUMBER(SEARCH(ZAKL_DATA!$B$29,N387)),MAX($M$2:M386)+1,0)</f>
        <v>385</v>
      </c>
      <c r="N387" s="325" t="s">
        <v>2219</v>
      </c>
      <c r="O387" s="340" t="s">
        <v>2220</v>
      </c>
      <c r="Q387" s="327" t="str">
        <f>IFERROR(VLOOKUP(ROWS($Q$3:Q387),$M$3:$N$992,2,0),"")</f>
        <v>Opravy výrobků pro osobní potřebu a převážně pro domácnost</v>
      </c>
      <c r="R387">
        <f>IF(ISNUMBER(SEARCH('1Př1'!$A$32,N387)),MAX($M$2:M386)+1,0)</f>
        <v>385</v>
      </c>
      <c r="S387" s="325" t="s">
        <v>2219</v>
      </c>
      <c r="T387" t="str">
        <f>IFERROR(VLOOKUP(ROWS($T$3:T387),$R$3:$S$992,2,0),"")</f>
        <v>Opravy výrobků pro osobní potřebu a převážně pro domácnost</v>
      </c>
      <c r="U387">
        <f>IF(ISNUMBER(SEARCH('1Př1'!$A$33,N387)),MAX($M$2:M386)+1,0)</f>
        <v>385</v>
      </c>
      <c r="V387" s="325" t="s">
        <v>2219</v>
      </c>
      <c r="W387" t="str">
        <f>IFERROR(VLOOKUP(ROWS($W$3:W387),$U$3:$V$992,2,0),"")</f>
        <v>Opravy výrobků pro osobní potřebu a převážně pro domácnost</v>
      </c>
      <c r="X387">
        <f>IF(ISNUMBER(SEARCH('1Př1'!$A$34,N387)),MAX($M$2:M386)+1,0)</f>
        <v>385</v>
      </c>
      <c r="Y387" s="325" t="s">
        <v>2219</v>
      </c>
      <c r="Z387" t="str">
        <f>IFERROR(VLOOKUP(ROWS($Z$3:Z387),$X$3:$Y$992,2,0),"")</f>
        <v>Opravy výrobků pro osobní potřebu a převážně pro domácnost</v>
      </c>
    </row>
    <row r="388" spans="13:26">
      <c r="M388" s="324">
        <f>IF(ISNUMBER(SEARCH(ZAKL_DATA!$B$29,N388)),MAX($M$2:M387)+1,0)</f>
        <v>386</v>
      </c>
      <c r="N388" s="325" t="s">
        <v>2221</v>
      </c>
      <c r="O388" s="340" t="s">
        <v>2222</v>
      </c>
      <c r="Q388" s="327" t="str">
        <f>IFERROR(VLOOKUP(ROWS($Q$3:Q388),$M$3:$N$992,2,0),"")</f>
        <v>Činnosti domác.produk.blíže neurčené výrobky pro vlastní potřebu</v>
      </c>
      <c r="R388">
        <f>IF(ISNUMBER(SEARCH('1Př1'!$A$32,N388)),MAX($M$2:M387)+1,0)</f>
        <v>386</v>
      </c>
      <c r="S388" s="325" t="s">
        <v>2221</v>
      </c>
      <c r="T388" t="str">
        <f>IFERROR(VLOOKUP(ROWS($T$3:T388),$R$3:$S$992,2,0),"")</f>
        <v>Činnosti domác.produk.blíže neurčené výrobky pro vlastní potřebu</v>
      </c>
      <c r="U388">
        <f>IF(ISNUMBER(SEARCH('1Př1'!$A$33,N388)),MAX($M$2:M387)+1,0)</f>
        <v>386</v>
      </c>
      <c r="V388" s="325" t="s">
        <v>2221</v>
      </c>
      <c r="W388" t="str">
        <f>IFERROR(VLOOKUP(ROWS($W$3:W388),$U$3:$V$992,2,0),"")</f>
        <v>Činnosti domác.produk.blíže neurčené výrobky pro vlastní potřebu</v>
      </c>
      <c r="X388">
        <f>IF(ISNUMBER(SEARCH('1Př1'!$A$34,N388)),MAX($M$2:M387)+1,0)</f>
        <v>386</v>
      </c>
      <c r="Y388" s="325" t="s">
        <v>2221</v>
      </c>
      <c r="Z388" t="str">
        <f>IFERROR(VLOOKUP(ROWS($Z$3:Z388),$X$3:$Y$992,2,0),"")</f>
        <v>Činnosti domác.produk.blíže neurčené výrobky pro vlastní potřebu</v>
      </c>
    </row>
    <row r="389" spans="13:26">
      <c r="M389" s="324">
        <f>IF(ISNUMBER(SEARCH(ZAKL_DATA!$B$29,N389)),MAX($M$2:M388)+1,0)</f>
        <v>387</v>
      </c>
      <c r="N389" s="325" t="s">
        <v>2223</v>
      </c>
      <c r="O389" s="340" t="s">
        <v>2224</v>
      </c>
      <c r="Q389" s="327" t="str">
        <f>IFERROR(VLOOKUP(ROWS($Q$3:Q389),$M$3:$N$992,2,0),"")</f>
        <v>Činnosti domácností poskyt.blíže neurčené služby pro vlastní potřebu</v>
      </c>
      <c r="R389">
        <f>IF(ISNUMBER(SEARCH('1Př1'!$A$32,N389)),MAX($M$2:M388)+1,0)</f>
        <v>387</v>
      </c>
      <c r="S389" s="325" t="s">
        <v>2223</v>
      </c>
      <c r="T389" t="str">
        <f>IFERROR(VLOOKUP(ROWS($T$3:T389),$R$3:$S$992,2,0),"")</f>
        <v>Činnosti domácností poskyt.blíže neurčené služby pro vlastní potřebu</v>
      </c>
      <c r="U389">
        <f>IF(ISNUMBER(SEARCH('1Př1'!$A$33,N389)),MAX($M$2:M388)+1,0)</f>
        <v>387</v>
      </c>
      <c r="V389" s="325" t="s">
        <v>2223</v>
      </c>
      <c r="W389" t="str">
        <f>IFERROR(VLOOKUP(ROWS($W$3:W389),$U$3:$V$992,2,0),"")</f>
        <v>Činnosti domácností poskyt.blíže neurčené služby pro vlastní potřebu</v>
      </c>
      <c r="X389">
        <f>IF(ISNUMBER(SEARCH('1Př1'!$A$34,N389)),MAX($M$2:M388)+1,0)</f>
        <v>387</v>
      </c>
      <c r="Y389" s="325" t="s">
        <v>2223</v>
      </c>
      <c r="Z389" t="str">
        <f>IFERROR(VLOOKUP(ROWS($Z$3:Z389),$X$3:$Y$992,2,0),"")</f>
        <v>Činnosti domácností poskyt.blíže neurčené služby pro vlastní potřebu</v>
      </c>
    </row>
    <row r="390" spans="13:26">
      <c r="M390" s="324">
        <f>IF(ISNUMBER(SEARCH(ZAKL_DATA!$B$29,N390)),MAX($M$2:M389)+1,0)</f>
        <v>388</v>
      </c>
      <c r="N390" s="325" t="s">
        <v>2225</v>
      </c>
      <c r="O390" s="340" t="s">
        <v>2226</v>
      </c>
      <c r="Q390" s="327" t="str">
        <f>IFERROR(VLOOKUP(ROWS($Q$3:Q390),$M$3:$N$992,2,0),"")</f>
        <v>Zpracování a konzervování masa, kromě drůbežího</v>
      </c>
      <c r="R390">
        <f>IF(ISNUMBER(SEARCH('1Př1'!$A$32,N390)),MAX($M$2:M389)+1,0)</f>
        <v>388</v>
      </c>
      <c r="S390" s="325" t="s">
        <v>2225</v>
      </c>
      <c r="T390" t="str">
        <f>IFERROR(VLOOKUP(ROWS($T$3:T390),$R$3:$S$992,2,0),"")</f>
        <v>Zpracování a konzervování masa, kromě drůbežího</v>
      </c>
      <c r="U390">
        <f>IF(ISNUMBER(SEARCH('1Př1'!$A$33,N390)),MAX($M$2:M389)+1,0)</f>
        <v>388</v>
      </c>
      <c r="V390" s="325" t="s">
        <v>2225</v>
      </c>
      <c r="W390" t="str">
        <f>IFERROR(VLOOKUP(ROWS($W$3:W390),$U$3:$V$992,2,0),"")</f>
        <v>Zpracování a konzervování masa, kromě drůbežího</v>
      </c>
      <c r="X390">
        <f>IF(ISNUMBER(SEARCH('1Př1'!$A$34,N390)),MAX($M$2:M389)+1,0)</f>
        <v>388</v>
      </c>
      <c r="Y390" s="325" t="s">
        <v>2225</v>
      </c>
      <c r="Z390" t="str">
        <f>IFERROR(VLOOKUP(ROWS($Z$3:Z390),$X$3:$Y$992,2,0),"")</f>
        <v>Zpracování a konzervování masa, kromě drůbežího</v>
      </c>
    </row>
    <row r="391" spans="13:26">
      <c r="M391" s="324">
        <f>IF(ISNUMBER(SEARCH(ZAKL_DATA!$B$29,N391)),MAX($M$2:M390)+1,0)</f>
        <v>389</v>
      </c>
      <c r="N391" s="325" t="s">
        <v>2227</v>
      </c>
      <c r="O391" s="340" t="s">
        <v>2228</v>
      </c>
      <c r="Q391" s="327" t="str">
        <f>IFERROR(VLOOKUP(ROWS($Q$3:Q391),$M$3:$N$992,2,0),"")</f>
        <v>Zpracování a konzervování drůbežího masa</v>
      </c>
      <c r="R391">
        <f>IF(ISNUMBER(SEARCH('1Př1'!$A$32,N391)),MAX($M$2:M390)+1,0)</f>
        <v>389</v>
      </c>
      <c r="S391" s="325" t="s">
        <v>2227</v>
      </c>
      <c r="T391" t="str">
        <f>IFERROR(VLOOKUP(ROWS($T$3:T391),$R$3:$S$992,2,0),"")</f>
        <v>Zpracování a konzervování drůbežího masa</v>
      </c>
      <c r="U391">
        <f>IF(ISNUMBER(SEARCH('1Př1'!$A$33,N391)),MAX($M$2:M390)+1,0)</f>
        <v>389</v>
      </c>
      <c r="V391" s="325" t="s">
        <v>2227</v>
      </c>
      <c r="W391" t="str">
        <f>IFERROR(VLOOKUP(ROWS($W$3:W391),$U$3:$V$992,2,0),"")</f>
        <v>Zpracování a konzervování drůbežího masa</v>
      </c>
      <c r="X391">
        <f>IF(ISNUMBER(SEARCH('1Př1'!$A$34,N391)),MAX($M$2:M390)+1,0)</f>
        <v>389</v>
      </c>
      <c r="Y391" s="325" t="s">
        <v>2227</v>
      </c>
      <c r="Z391" t="str">
        <f>IFERROR(VLOOKUP(ROWS($Z$3:Z391),$X$3:$Y$992,2,0),"")</f>
        <v>Zpracování a konzervování drůbežího masa</v>
      </c>
    </row>
    <row r="392" spans="13:26">
      <c r="M392" s="324">
        <f>IF(ISNUMBER(SEARCH(ZAKL_DATA!$B$29,N392)),MAX($M$2:M391)+1,0)</f>
        <v>390</v>
      </c>
      <c r="N392" s="325" t="s">
        <v>2229</v>
      </c>
      <c r="O392" s="340" t="s">
        <v>2230</v>
      </c>
      <c r="Q392" s="327" t="str">
        <f>IFERROR(VLOOKUP(ROWS($Q$3:Q392),$M$3:$N$992,2,0),"")</f>
        <v>Výroba masných výrobků a výrobků z drůbežího masa</v>
      </c>
      <c r="R392">
        <f>IF(ISNUMBER(SEARCH('1Př1'!$A$32,N392)),MAX($M$2:M391)+1,0)</f>
        <v>390</v>
      </c>
      <c r="S392" s="325" t="s">
        <v>2229</v>
      </c>
      <c r="T392" t="str">
        <f>IFERROR(VLOOKUP(ROWS($T$3:T392),$R$3:$S$992,2,0),"")</f>
        <v>Výroba masných výrobků a výrobků z drůbežího masa</v>
      </c>
      <c r="U392">
        <f>IF(ISNUMBER(SEARCH('1Př1'!$A$33,N392)),MAX($M$2:M391)+1,0)</f>
        <v>390</v>
      </c>
      <c r="V392" s="325" t="s">
        <v>2229</v>
      </c>
      <c r="W392" t="str">
        <f>IFERROR(VLOOKUP(ROWS($W$3:W392),$U$3:$V$992,2,0),"")</f>
        <v>Výroba masných výrobků a výrobků z drůbežího masa</v>
      </c>
      <c r="X392">
        <f>IF(ISNUMBER(SEARCH('1Př1'!$A$34,N392)),MAX($M$2:M391)+1,0)</f>
        <v>390</v>
      </c>
      <c r="Y392" s="325" t="s">
        <v>2229</v>
      </c>
      <c r="Z392" t="str">
        <f>IFERROR(VLOOKUP(ROWS($Z$3:Z392),$X$3:$Y$992,2,0),"")</f>
        <v>Výroba masných výrobků a výrobků z drůbežího masa</v>
      </c>
    </row>
    <row r="393" spans="13:26">
      <c r="M393" s="324">
        <f>IF(ISNUMBER(SEARCH(ZAKL_DATA!$B$29,N393)),MAX($M$2:M392)+1,0)</f>
        <v>391</v>
      </c>
      <c r="N393" s="325" t="s">
        <v>2231</v>
      </c>
      <c r="O393" s="340" t="s">
        <v>2232</v>
      </c>
      <c r="Q393" s="327" t="str">
        <f>IFERROR(VLOOKUP(ROWS($Q$3:Q393),$M$3:$N$992,2,0),"")</f>
        <v>Zpracování a konzervování brambor</v>
      </c>
      <c r="R393">
        <f>IF(ISNUMBER(SEARCH('1Př1'!$A$32,N393)),MAX($M$2:M392)+1,0)</f>
        <v>391</v>
      </c>
      <c r="S393" s="325" t="s">
        <v>2231</v>
      </c>
      <c r="T393" t="str">
        <f>IFERROR(VLOOKUP(ROWS($T$3:T393),$R$3:$S$992,2,0),"")</f>
        <v>Zpracování a konzervování brambor</v>
      </c>
      <c r="U393">
        <f>IF(ISNUMBER(SEARCH('1Př1'!$A$33,N393)),MAX($M$2:M392)+1,0)</f>
        <v>391</v>
      </c>
      <c r="V393" s="325" t="s">
        <v>2231</v>
      </c>
      <c r="W393" t="str">
        <f>IFERROR(VLOOKUP(ROWS($W$3:W393),$U$3:$V$992,2,0),"")</f>
        <v>Zpracování a konzervování brambor</v>
      </c>
      <c r="X393">
        <f>IF(ISNUMBER(SEARCH('1Př1'!$A$34,N393)),MAX($M$2:M392)+1,0)</f>
        <v>391</v>
      </c>
      <c r="Y393" s="325" t="s">
        <v>2231</v>
      </c>
      <c r="Z393" t="str">
        <f>IFERROR(VLOOKUP(ROWS($Z$3:Z393),$X$3:$Y$992,2,0),"")</f>
        <v>Zpracování a konzervování brambor</v>
      </c>
    </row>
    <row r="394" spans="13:26">
      <c r="M394" s="324">
        <f>IF(ISNUMBER(SEARCH(ZAKL_DATA!$B$29,N394)),MAX($M$2:M393)+1,0)</f>
        <v>392</v>
      </c>
      <c r="N394" s="325" t="s">
        <v>2233</v>
      </c>
      <c r="O394" s="340" t="s">
        <v>2234</v>
      </c>
      <c r="Q394" s="327" t="str">
        <f>IFERROR(VLOOKUP(ROWS($Q$3:Q394),$M$3:$N$992,2,0),"")</f>
        <v>Výroba ovocných a zeleninových šťáv</v>
      </c>
      <c r="R394">
        <f>IF(ISNUMBER(SEARCH('1Př1'!$A$32,N394)),MAX($M$2:M393)+1,0)</f>
        <v>392</v>
      </c>
      <c r="S394" s="325" t="s">
        <v>2233</v>
      </c>
      <c r="T394" t="str">
        <f>IFERROR(VLOOKUP(ROWS($T$3:T394),$R$3:$S$992,2,0),"")</f>
        <v>Výroba ovocných a zeleninových šťáv</v>
      </c>
      <c r="U394">
        <f>IF(ISNUMBER(SEARCH('1Př1'!$A$33,N394)),MAX($M$2:M393)+1,0)</f>
        <v>392</v>
      </c>
      <c r="V394" s="325" t="s">
        <v>2233</v>
      </c>
      <c r="W394" t="str">
        <f>IFERROR(VLOOKUP(ROWS($W$3:W394),$U$3:$V$992,2,0),"")</f>
        <v>Výroba ovocných a zeleninových šťáv</v>
      </c>
      <c r="X394">
        <f>IF(ISNUMBER(SEARCH('1Př1'!$A$34,N394)),MAX($M$2:M393)+1,0)</f>
        <v>392</v>
      </c>
      <c r="Y394" s="325" t="s">
        <v>2233</v>
      </c>
      <c r="Z394" t="str">
        <f>IFERROR(VLOOKUP(ROWS($Z$3:Z394),$X$3:$Y$992,2,0),"")</f>
        <v>Výroba ovocných a zeleninových šťáv</v>
      </c>
    </row>
    <row r="395" spans="13:26">
      <c r="M395" s="324">
        <f>IF(ISNUMBER(SEARCH(ZAKL_DATA!$B$29,N395)),MAX($M$2:M394)+1,0)</f>
        <v>393</v>
      </c>
      <c r="N395" s="325" t="s">
        <v>2235</v>
      </c>
      <c r="O395" s="340" t="s">
        <v>2236</v>
      </c>
      <c r="Q395" s="327" t="str">
        <f>IFERROR(VLOOKUP(ROWS($Q$3:Q395),$M$3:$N$992,2,0),"")</f>
        <v>Ostatní zpracování a konzervování ovoce a zeleniny</v>
      </c>
      <c r="R395">
        <f>IF(ISNUMBER(SEARCH('1Př1'!$A$32,N395)),MAX($M$2:M394)+1,0)</f>
        <v>393</v>
      </c>
      <c r="S395" s="325" t="s">
        <v>2235</v>
      </c>
      <c r="T395" t="str">
        <f>IFERROR(VLOOKUP(ROWS($T$3:T395),$R$3:$S$992,2,0),"")</f>
        <v>Ostatní zpracování a konzervování ovoce a zeleniny</v>
      </c>
      <c r="U395">
        <f>IF(ISNUMBER(SEARCH('1Př1'!$A$33,N395)),MAX($M$2:M394)+1,0)</f>
        <v>393</v>
      </c>
      <c r="V395" s="325" t="s">
        <v>2235</v>
      </c>
      <c r="W395" t="str">
        <f>IFERROR(VLOOKUP(ROWS($W$3:W395),$U$3:$V$992,2,0),"")</f>
        <v>Ostatní zpracování a konzervování ovoce a zeleniny</v>
      </c>
      <c r="X395">
        <f>IF(ISNUMBER(SEARCH('1Př1'!$A$34,N395)),MAX($M$2:M394)+1,0)</f>
        <v>393</v>
      </c>
      <c r="Y395" s="325" t="s">
        <v>2235</v>
      </c>
      <c r="Z395" t="str">
        <f>IFERROR(VLOOKUP(ROWS($Z$3:Z395),$X$3:$Y$992,2,0),"")</f>
        <v>Ostatní zpracování a konzervování ovoce a zeleniny</v>
      </c>
    </row>
    <row r="396" spans="13:26">
      <c r="M396" s="324">
        <f>IF(ISNUMBER(SEARCH(ZAKL_DATA!$B$29,N396)),MAX($M$2:M395)+1,0)</f>
        <v>394</v>
      </c>
      <c r="N396" s="325" t="s">
        <v>2237</v>
      </c>
      <c r="O396" s="340" t="s">
        <v>2238</v>
      </c>
      <c r="Q396" s="327" t="str">
        <f>IFERROR(VLOOKUP(ROWS($Q$3:Q396),$M$3:$N$992,2,0),"")</f>
        <v>Výroba olejů a tuků</v>
      </c>
      <c r="R396">
        <f>IF(ISNUMBER(SEARCH('1Př1'!$A$32,N396)),MAX($M$2:M395)+1,0)</f>
        <v>394</v>
      </c>
      <c r="S396" s="325" t="s">
        <v>2237</v>
      </c>
      <c r="T396" t="str">
        <f>IFERROR(VLOOKUP(ROWS($T$3:T396),$R$3:$S$992,2,0),"")</f>
        <v>Výroba olejů a tuků</v>
      </c>
      <c r="U396">
        <f>IF(ISNUMBER(SEARCH('1Př1'!$A$33,N396)),MAX($M$2:M395)+1,0)</f>
        <v>394</v>
      </c>
      <c r="V396" s="325" t="s">
        <v>2237</v>
      </c>
      <c r="W396" t="str">
        <f>IFERROR(VLOOKUP(ROWS($W$3:W396),$U$3:$V$992,2,0),"")</f>
        <v>Výroba olejů a tuků</v>
      </c>
      <c r="X396">
        <f>IF(ISNUMBER(SEARCH('1Př1'!$A$34,N396)),MAX($M$2:M395)+1,0)</f>
        <v>394</v>
      </c>
      <c r="Y396" s="325" t="s">
        <v>2237</v>
      </c>
      <c r="Z396" t="str">
        <f>IFERROR(VLOOKUP(ROWS($Z$3:Z396),$X$3:$Y$992,2,0),"")</f>
        <v>Výroba olejů a tuků</v>
      </c>
    </row>
    <row r="397" spans="13:26">
      <c r="M397" s="324">
        <f>IF(ISNUMBER(SEARCH(ZAKL_DATA!$B$29,N397)),MAX($M$2:M396)+1,0)</f>
        <v>395</v>
      </c>
      <c r="N397" s="325" t="s">
        <v>2239</v>
      </c>
      <c r="O397" s="340" t="s">
        <v>2240</v>
      </c>
      <c r="Q397" s="327" t="str">
        <f>IFERROR(VLOOKUP(ROWS($Q$3:Q397),$M$3:$N$992,2,0),"")</f>
        <v>Výroba margarínu a podobných jedlých tuků</v>
      </c>
      <c r="R397">
        <f>IF(ISNUMBER(SEARCH('1Př1'!$A$32,N397)),MAX($M$2:M396)+1,0)</f>
        <v>395</v>
      </c>
      <c r="S397" s="325" t="s">
        <v>2239</v>
      </c>
      <c r="T397" t="str">
        <f>IFERROR(VLOOKUP(ROWS($T$3:T397),$R$3:$S$992,2,0),"")</f>
        <v>Výroba margarínu a podobných jedlých tuků</v>
      </c>
      <c r="U397">
        <f>IF(ISNUMBER(SEARCH('1Př1'!$A$33,N397)),MAX($M$2:M396)+1,0)</f>
        <v>395</v>
      </c>
      <c r="V397" s="325" t="s">
        <v>2239</v>
      </c>
      <c r="W397" t="str">
        <f>IFERROR(VLOOKUP(ROWS($W$3:W397),$U$3:$V$992,2,0),"")</f>
        <v>Výroba margarínu a podobných jedlých tuků</v>
      </c>
      <c r="X397">
        <f>IF(ISNUMBER(SEARCH('1Př1'!$A$34,N397)),MAX($M$2:M396)+1,0)</f>
        <v>395</v>
      </c>
      <c r="Y397" s="325" t="s">
        <v>2239</v>
      </c>
      <c r="Z397" t="str">
        <f>IFERROR(VLOOKUP(ROWS($Z$3:Z397),$X$3:$Y$992,2,0),"")</f>
        <v>Výroba margarínu a podobných jedlých tuků</v>
      </c>
    </row>
    <row r="398" spans="13:26">
      <c r="M398" s="324">
        <f>IF(ISNUMBER(SEARCH(ZAKL_DATA!$B$29,N398)),MAX($M$2:M397)+1,0)</f>
        <v>396</v>
      </c>
      <c r="N398" s="325" t="s">
        <v>2241</v>
      </c>
      <c r="O398" s="340" t="s">
        <v>2242</v>
      </c>
      <c r="Q398" s="327" t="str">
        <f>IFERROR(VLOOKUP(ROWS($Q$3:Q398),$M$3:$N$992,2,0),"")</f>
        <v>Zpracování mléka, výroba mléčných výrobků a sýrů</v>
      </c>
      <c r="R398">
        <f>IF(ISNUMBER(SEARCH('1Př1'!$A$32,N398)),MAX($M$2:M397)+1,0)</f>
        <v>396</v>
      </c>
      <c r="S398" s="325" t="s">
        <v>2241</v>
      </c>
      <c r="T398" t="str">
        <f>IFERROR(VLOOKUP(ROWS($T$3:T398),$R$3:$S$992,2,0),"")</f>
        <v>Zpracování mléka, výroba mléčných výrobků a sýrů</v>
      </c>
      <c r="U398">
        <f>IF(ISNUMBER(SEARCH('1Př1'!$A$33,N398)),MAX($M$2:M397)+1,0)</f>
        <v>396</v>
      </c>
      <c r="V398" s="325" t="s">
        <v>2241</v>
      </c>
      <c r="W398" t="str">
        <f>IFERROR(VLOOKUP(ROWS($W$3:W398),$U$3:$V$992,2,0),"")</f>
        <v>Zpracování mléka, výroba mléčných výrobků a sýrů</v>
      </c>
      <c r="X398">
        <f>IF(ISNUMBER(SEARCH('1Př1'!$A$34,N398)),MAX($M$2:M397)+1,0)</f>
        <v>396</v>
      </c>
      <c r="Y398" s="325" t="s">
        <v>2241</v>
      </c>
      <c r="Z398" t="str">
        <f>IFERROR(VLOOKUP(ROWS($Z$3:Z398),$X$3:$Y$992,2,0),"")</f>
        <v>Zpracování mléka, výroba mléčných výrobků a sýrů</v>
      </c>
    </row>
    <row r="399" spans="13:26">
      <c r="M399" s="324">
        <f>IF(ISNUMBER(SEARCH(ZAKL_DATA!$B$29,N399)),MAX($M$2:M398)+1,0)</f>
        <v>397</v>
      </c>
      <c r="N399" s="325" t="s">
        <v>2243</v>
      </c>
      <c r="O399" s="340" t="s">
        <v>2244</v>
      </c>
      <c r="Q399" s="327" t="str">
        <f>IFERROR(VLOOKUP(ROWS($Q$3:Q399),$M$3:$N$992,2,0),"")</f>
        <v>Výroba zmrzliny</v>
      </c>
      <c r="R399">
        <f>IF(ISNUMBER(SEARCH('1Př1'!$A$32,N399)),MAX($M$2:M398)+1,0)</f>
        <v>397</v>
      </c>
      <c r="S399" s="325" t="s">
        <v>2243</v>
      </c>
      <c r="T399" t="str">
        <f>IFERROR(VLOOKUP(ROWS($T$3:T399),$R$3:$S$992,2,0),"")</f>
        <v>Výroba zmrzliny</v>
      </c>
      <c r="U399">
        <f>IF(ISNUMBER(SEARCH('1Př1'!$A$33,N399)),MAX($M$2:M398)+1,0)</f>
        <v>397</v>
      </c>
      <c r="V399" s="325" t="s">
        <v>2243</v>
      </c>
      <c r="W399" t="str">
        <f>IFERROR(VLOOKUP(ROWS($W$3:W399),$U$3:$V$992,2,0),"")</f>
        <v>Výroba zmrzliny</v>
      </c>
      <c r="X399">
        <f>IF(ISNUMBER(SEARCH('1Př1'!$A$34,N399)),MAX($M$2:M398)+1,0)</f>
        <v>397</v>
      </c>
      <c r="Y399" s="325" t="s">
        <v>2243</v>
      </c>
      <c r="Z399" t="str">
        <f>IFERROR(VLOOKUP(ROWS($Z$3:Z399),$X$3:$Y$992,2,0),"")</f>
        <v>Výroba zmrzliny</v>
      </c>
    </row>
    <row r="400" spans="13:26">
      <c r="M400" s="324">
        <f>IF(ISNUMBER(SEARCH(ZAKL_DATA!$B$29,N400)),MAX($M$2:M399)+1,0)</f>
        <v>398</v>
      </c>
      <c r="N400" s="325" t="s">
        <v>2245</v>
      </c>
      <c r="O400" s="340" t="s">
        <v>2246</v>
      </c>
      <c r="Q400" s="327" t="str">
        <f>IFERROR(VLOOKUP(ROWS($Q$3:Q400),$M$3:$N$992,2,0),"")</f>
        <v>Výroba mlýnských výrobků</v>
      </c>
      <c r="R400">
        <f>IF(ISNUMBER(SEARCH('1Př1'!$A$32,N400)),MAX($M$2:M399)+1,0)</f>
        <v>398</v>
      </c>
      <c r="S400" s="325" t="s">
        <v>2245</v>
      </c>
      <c r="T400" t="str">
        <f>IFERROR(VLOOKUP(ROWS($T$3:T400),$R$3:$S$992,2,0),"")</f>
        <v>Výroba mlýnských výrobků</v>
      </c>
      <c r="U400">
        <f>IF(ISNUMBER(SEARCH('1Př1'!$A$33,N400)),MAX($M$2:M399)+1,0)</f>
        <v>398</v>
      </c>
      <c r="V400" s="325" t="s">
        <v>2245</v>
      </c>
      <c r="W400" t="str">
        <f>IFERROR(VLOOKUP(ROWS($W$3:W400),$U$3:$V$992,2,0),"")</f>
        <v>Výroba mlýnských výrobků</v>
      </c>
      <c r="X400">
        <f>IF(ISNUMBER(SEARCH('1Př1'!$A$34,N400)),MAX($M$2:M399)+1,0)</f>
        <v>398</v>
      </c>
      <c r="Y400" s="325" t="s">
        <v>2245</v>
      </c>
      <c r="Z400" t="str">
        <f>IFERROR(VLOOKUP(ROWS($Z$3:Z400),$X$3:$Y$992,2,0),"")</f>
        <v>Výroba mlýnských výrobků</v>
      </c>
    </row>
    <row r="401" spans="13:26">
      <c r="M401" s="324">
        <f>IF(ISNUMBER(SEARCH(ZAKL_DATA!$B$29,N401)),MAX($M$2:M400)+1,0)</f>
        <v>399</v>
      </c>
      <c r="N401" s="325" t="s">
        <v>2247</v>
      </c>
      <c r="O401" s="340" t="s">
        <v>2248</v>
      </c>
      <c r="Q401" s="327" t="str">
        <f>IFERROR(VLOOKUP(ROWS($Q$3:Q401),$M$3:$N$992,2,0),"")</f>
        <v>Výroba škrobárenských výrobků</v>
      </c>
      <c r="R401">
        <f>IF(ISNUMBER(SEARCH('1Př1'!$A$32,N401)),MAX($M$2:M400)+1,0)</f>
        <v>399</v>
      </c>
      <c r="S401" s="325" t="s">
        <v>2247</v>
      </c>
      <c r="T401" t="str">
        <f>IFERROR(VLOOKUP(ROWS($T$3:T401),$R$3:$S$992,2,0),"")</f>
        <v>Výroba škrobárenských výrobků</v>
      </c>
      <c r="U401">
        <f>IF(ISNUMBER(SEARCH('1Př1'!$A$33,N401)),MAX($M$2:M400)+1,0)</f>
        <v>399</v>
      </c>
      <c r="V401" s="325" t="s">
        <v>2247</v>
      </c>
      <c r="W401" t="str">
        <f>IFERROR(VLOOKUP(ROWS($W$3:W401),$U$3:$V$992,2,0),"")</f>
        <v>Výroba škrobárenských výrobků</v>
      </c>
      <c r="X401">
        <f>IF(ISNUMBER(SEARCH('1Př1'!$A$34,N401)),MAX($M$2:M400)+1,0)</f>
        <v>399</v>
      </c>
      <c r="Y401" s="325" t="s">
        <v>2247</v>
      </c>
      <c r="Z401" t="str">
        <f>IFERROR(VLOOKUP(ROWS($Z$3:Z401),$X$3:$Y$992,2,0),"")</f>
        <v>Výroba škrobárenských výrobků</v>
      </c>
    </row>
    <row r="402" spans="13:26">
      <c r="M402" s="324">
        <f>IF(ISNUMBER(SEARCH(ZAKL_DATA!$B$29,N402)),MAX($M$2:M401)+1,0)</f>
        <v>400</v>
      </c>
      <c r="N402" s="325" t="s">
        <v>2249</v>
      </c>
      <c r="O402" s="340" t="s">
        <v>2250</v>
      </c>
      <c r="Q402" s="327" t="str">
        <f>IFERROR(VLOOKUP(ROWS($Q$3:Q402),$M$3:$N$992,2,0),"")</f>
        <v>Výroba pekařských a cukrářských výrobků, kromě trvanlivých</v>
      </c>
      <c r="R402">
        <f>IF(ISNUMBER(SEARCH('1Př1'!$A$32,N402)),MAX($M$2:M401)+1,0)</f>
        <v>400</v>
      </c>
      <c r="S402" s="325" t="s">
        <v>2249</v>
      </c>
      <c r="T402" t="str">
        <f>IFERROR(VLOOKUP(ROWS($T$3:T402),$R$3:$S$992,2,0),"")</f>
        <v>Výroba pekařských a cukrářských výrobků, kromě trvanlivých</v>
      </c>
      <c r="U402">
        <f>IF(ISNUMBER(SEARCH('1Př1'!$A$33,N402)),MAX($M$2:M401)+1,0)</f>
        <v>400</v>
      </c>
      <c r="V402" s="325" t="s">
        <v>2249</v>
      </c>
      <c r="W402" t="str">
        <f>IFERROR(VLOOKUP(ROWS($W$3:W402),$U$3:$V$992,2,0),"")</f>
        <v>Výroba pekařských a cukrářských výrobků, kromě trvanlivých</v>
      </c>
      <c r="X402">
        <f>IF(ISNUMBER(SEARCH('1Př1'!$A$34,N402)),MAX($M$2:M401)+1,0)</f>
        <v>400</v>
      </c>
      <c r="Y402" s="325" t="s">
        <v>2249</v>
      </c>
      <c r="Z402" t="str">
        <f>IFERROR(VLOOKUP(ROWS($Z$3:Z402),$X$3:$Y$992,2,0),"")</f>
        <v>Výroba pekařských a cukrářských výrobků, kromě trvanlivých</v>
      </c>
    </row>
    <row r="403" spans="13:26">
      <c r="M403" s="324">
        <f>IF(ISNUMBER(SEARCH(ZAKL_DATA!$B$29,N403)),MAX($M$2:M402)+1,0)</f>
        <v>401</v>
      </c>
      <c r="N403" s="325" t="s">
        <v>2251</v>
      </c>
      <c r="O403" s="340" t="s">
        <v>2252</v>
      </c>
      <c r="Q403" s="327" t="str">
        <f>IFERROR(VLOOKUP(ROWS($Q$3:Q403),$M$3:$N$992,2,0),"")</f>
        <v>Výroba sucharů a sušenek; výroba trvanlivých cukrářských výrobků</v>
      </c>
      <c r="R403">
        <f>IF(ISNUMBER(SEARCH('1Př1'!$A$32,N403)),MAX($M$2:M402)+1,0)</f>
        <v>401</v>
      </c>
      <c r="S403" s="325" t="s">
        <v>2251</v>
      </c>
      <c r="T403" t="str">
        <f>IFERROR(VLOOKUP(ROWS($T$3:T403),$R$3:$S$992,2,0),"")</f>
        <v>Výroba sucharů a sušenek; výroba trvanlivých cukrářských výrobků</v>
      </c>
      <c r="U403">
        <f>IF(ISNUMBER(SEARCH('1Př1'!$A$33,N403)),MAX($M$2:M402)+1,0)</f>
        <v>401</v>
      </c>
      <c r="V403" s="325" t="s">
        <v>2251</v>
      </c>
      <c r="W403" t="str">
        <f>IFERROR(VLOOKUP(ROWS($W$3:W403),$U$3:$V$992,2,0),"")</f>
        <v>Výroba sucharů a sušenek; výroba trvanlivých cukrářských výrobků</v>
      </c>
      <c r="X403">
        <f>IF(ISNUMBER(SEARCH('1Př1'!$A$34,N403)),MAX($M$2:M402)+1,0)</f>
        <v>401</v>
      </c>
      <c r="Y403" s="325" t="s">
        <v>2251</v>
      </c>
      <c r="Z403" t="str">
        <f>IFERROR(VLOOKUP(ROWS($Z$3:Z403),$X$3:$Y$992,2,0),"")</f>
        <v>Výroba sucharů a sušenek; výroba trvanlivých cukrářských výrobků</v>
      </c>
    </row>
    <row r="404" spans="13:26">
      <c r="M404" s="324">
        <f>IF(ISNUMBER(SEARCH(ZAKL_DATA!$B$29,N404)),MAX($M$2:M403)+1,0)</f>
        <v>402</v>
      </c>
      <c r="N404" s="325" t="s">
        <v>2253</v>
      </c>
      <c r="O404" s="340" t="s">
        <v>2254</v>
      </c>
      <c r="Q404" s="327" t="str">
        <f>IFERROR(VLOOKUP(ROWS($Q$3:Q404),$M$3:$N$992,2,0),"")</f>
        <v>Výroba makaronů, nudlí, kuskusu a podobných moučných výrobků</v>
      </c>
      <c r="R404">
        <f>IF(ISNUMBER(SEARCH('1Př1'!$A$32,N404)),MAX($M$2:M403)+1,0)</f>
        <v>402</v>
      </c>
      <c r="S404" s="325" t="s">
        <v>2253</v>
      </c>
      <c r="T404" t="str">
        <f>IFERROR(VLOOKUP(ROWS($T$3:T404),$R$3:$S$992,2,0),"")</f>
        <v>Výroba makaronů, nudlí, kuskusu a podobných moučných výrobků</v>
      </c>
      <c r="U404">
        <f>IF(ISNUMBER(SEARCH('1Př1'!$A$33,N404)),MAX($M$2:M403)+1,0)</f>
        <v>402</v>
      </c>
      <c r="V404" s="325" t="s">
        <v>2253</v>
      </c>
      <c r="W404" t="str">
        <f>IFERROR(VLOOKUP(ROWS($W$3:W404),$U$3:$V$992,2,0),"")</f>
        <v>Výroba makaronů, nudlí, kuskusu a podobných moučných výrobků</v>
      </c>
      <c r="X404">
        <f>IF(ISNUMBER(SEARCH('1Př1'!$A$34,N404)),MAX($M$2:M403)+1,0)</f>
        <v>402</v>
      </c>
      <c r="Y404" s="325" t="s">
        <v>2253</v>
      </c>
      <c r="Z404" t="str">
        <f>IFERROR(VLOOKUP(ROWS($Z$3:Z404),$X$3:$Y$992,2,0),"")</f>
        <v>Výroba makaronů, nudlí, kuskusu a podobných moučných výrobků</v>
      </c>
    </row>
    <row r="405" spans="13:26">
      <c r="M405" s="324">
        <f>IF(ISNUMBER(SEARCH(ZAKL_DATA!$B$29,N405)),MAX($M$2:M404)+1,0)</f>
        <v>403</v>
      </c>
      <c r="N405" s="325" t="s">
        <v>2255</v>
      </c>
      <c r="O405" s="340" t="s">
        <v>2256</v>
      </c>
      <c r="Q405" s="327" t="str">
        <f>IFERROR(VLOOKUP(ROWS($Q$3:Q405),$M$3:$N$992,2,0),"")</f>
        <v>Výroba cukru</v>
      </c>
      <c r="R405">
        <f>IF(ISNUMBER(SEARCH('1Př1'!$A$32,N405)),MAX($M$2:M404)+1,0)</f>
        <v>403</v>
      </c>
      <c r="S405" s="325" t="s">
        <v>2255</v>
      </c>
      <c r="T405" t="str">
        <f>IFERROR(VLOOKUP(ROWS($T$3:T405),$R$3:$S$992,2,0),"")</f>
        <v>Výroba cukru</v>
      </c>
      <c r="U405">
        <f>IF(ISNUMBER(SEARCH('1Př1'!$A$33,N405)),MAX($M$2:M404)+1,0)</f>
        <v>403</v>
      </c>
      <c r="V405" s="325" t="s">
        <v>2255</v>
      </c>
      <c r="W405" t="str">
        <f>IFERROR(VLOOKUP(ROWS($W$3:W405),$U$3:$V$992,2,0),"")</f>
        <v>Výroba cukru</v>
      </c>
      <c r="X405">
        <f>IF(ISNUMBER(SEARCH('1Př1'!$A$34,N405)),MAX($M$2:M404)+1,0)</f>
        <v>403</v>
      </c>
      <c r="Y405" s="325" t="s">
        <v>2255</v>
      </c>
      <c r="Z405" t="str">
        <f>IFERROR(VLOOKUP(ROWS($Z$3:Z405),$X$3:$Y$992,2,0),"")</f>
        <v>Výroba cukru</v>
      </c>
    </row>
    <row r="406" spans="13:26">
      <c r="M406" s="324">
        <f>IF(ISNUMBER(SEARCH(ZAKL_DATA!$B$29,N406)),MAX($M$2:M405)+1,0)</f>
        <v>404</v>
      </c>
      <c r="N406" s="325" t="s">
        <v>2257</v>
      </c>
      <c r="O406" s="340" t="s">
        <v>2258</v>
      </c>
      <c r="Q406" s="327" t="str">
        <f>IFERROR(VLOOKUP(ROWS($Q$3:Q406),$M$3:$N$992,2,0),"")</f>
        <v>Výroba kakaa, čokolády a cukrovinek</v>
      </c>
      <c r="R406">
        <f>IF(ISNUMBER(SEARCH('1Př1'!$A$32,N406)),MAX($M$2:M405)+1,0)</f>
        <v>404</v>
      </c>
      <c r="S406" s="325" t="s">
        <v>2257</v>
      </c>
      <c r="T406" t="str">
        <f>IFERROR(VLOOKUP(ROWS($T$3:T406),$R$3:$S$992,2,0),"")</f>
        <v>Výroba kakaa, čokolády a cukrovinek</v>
      </c>
      <c r="U406">
        <f>IF(ISNUMBER(SEARCH('1Př1'!$A$33,N406)),MAX($M$2:M405)+1,0)</f>
        <v>404</v>
      </c>
      <c r="V406" s="325" t="s">
        <v>2257</v>
      </c>
      <c r="W406" t="str">
        <f>IFERROR(VLOOKUP(ROWS($W$3:W406),$U$3:$V$992,2,0),"")</f>
        <v>Výroba kakaa, čokolády a cukrovinek</v>
      </c>
      <c r="X406">
        <f>IF(ISNUMBER(SEARCH('1Př1'!$A$34,N406)),MAX($M$2:M405)+1,0)</f>
        <v>404</v>
      </c>
      <c r="Y406" s="325" t="s">
        <v>2257</v>
      </c>
      <c r="Z406" t="str">
        <f>IFERROR(VLOOKUP(ROWS($Z$3:Z406),$X$3:$Y$992,2,0),"")</f>
        <v>Výroba kakaa, čokolády a cukrovinek</v>
      </c>
    </row>
    <row r="407" spans="13:26">
      <c r="M407" s="324">
        <f>IF(ISNUMBER(SEARCH(ZAKL_DATA!$B$29,N407)),MAX($M$2:M406)+1,0)</f>
        <v>405</v>
      </c>
      <c r="N407" s="325" t="s">
        <v>2259</v>
      </c>
      <c r="O407" s="340" t="s">
        <v>2260</v>
      </c>
      <c r="Q407" s="327" t="str">
        <f>IFERROR(VLOOKUP(ROWS($Q$3:Q407),$M$3:$N$992,2,0),"")</f>
        <v>Zpracování čaje a kávy</v>
      </c>
      <c r="R407">
        <f>IF(ISNUMBER(SEARCH('1Př1'!$A$32,N407)),MAX($M$2:M406)+1,0)</f>
        <v>405</v>
      </c>
      <c r="S407" s="325" t="s">
        <v>2259</v>
      </c>
      <c r="T407" t="str">
        <f>IFERROR(VLOOKUP(ROWS($T$3:T407),$R$3:$S$992,2,0),"")</f>
        <v>Zpracování čaje a kávy</v>
      </c>
      <c r="U407">
        <f>IF(ISNUMBER(SEARCH('1Př1'!$A$33,N407)),MAX($M$2:M406)+1,0)</f>
        <v>405</v>
      </c>
      <c r="V407" s="325" t="s">
        <v>2259</v>
      </c>
      <c r="W407" t="str">
        <f>IFERROR(VLOOKUP(ROWS($W$3:W407),$U$3:$V$992,2,0),"")</f>
        <v>Zpracování čaje a kávy</v>
      </c>
      <c r="X407">
        <f>IF(ISNUMBER(SEARCH('1Př1'!$A$34,N407)),MAX($M$2:M406)+1,0)</f>
        <v>405</v>
      </c>
      <c r="Y407" s="325" t="s">
        <v>2259</v>
      </c>
      <c r="Z407" t="str">
        <f>IFERROR(VLOOKUP(ROWS($Z$3:Z407),$X$3:$Y$992,2,0),"")</f>
        <v>Zpracování čaje a kávy</v>
      </c>
    </row>
    <row r="408" spans="13:26">
      <c r="M408" s="324">
        <f>IF(ISNUMBER(SEARCH(ZAKL_DATA!$B$29,N408)),MAX($M$2:M407)+1,0)</f>
        <v>406</v>
      </c>
      <c r="N408" s="325" t="s">
        <v>2261</v>
      </c>
      <c r="O408" s="340" t="s">
        <v>2262</v>
      </c>
      <c r="Q408" s="327" t="str">
        <f>IFERROR(VLOOKUP(ROWS($Q$3:Q408),$M$3:$N$992,2,0),"")</f>
        <v>Výroba koření a aromatických výtažků</v>
      </c>
      <c r="R408">
        <f>IF(ISNUMBER(SEARCH('1Př1'!$A$32,N408)),MAX($M$2:M407)+1,0)</f>
        <v>406</v>
      </c>
      <c r="S408" s="325" t="s">
        <v>2261</v>
      </c>
      <c r="T408" t="str">
        <f>IFERROR(VLOOKUP(ROWS($T$3:T408),$R$3:$S$992,2,0),"")</f>
        <v>Výroba koření a aromatických výtažků</v>
      </c>
      <c r="U408">
        <f>IF(ISNUMBER(SEARCH('1Př1'!$A$33,N408)),MAX($M$2:M407)+1,0)</f>
        <v>406</v>
      </c>
      <c r="V408" s="325" t="s">
        <v>2261</v>
      </c>
      <c r="W408" t="str">
        <f>IFERROR(VLOOKUP(ROWS($W$3:W408),$U$3:$V$992,2,0),"")</f>
        <v>Výroba koření a aromatických výtažků</v>
      </c>
      <c r="X408">
        <f>IF(ISNUMBER(SEARCH('1Př1'!$A$34,N408)),MAX($M$2:M407)+1,0)</f>
        <v>406</v>
      </c>
      <c r="Y408" s="325" t="s">
        <v>2261</v>
      </c>
      <c r="Z408" t="str">
        <f>IFERROR(VLOOKUP(ROWS($Z$3:Z408),$X$3:$Y$992,2,0),"")</f>
        <v>Výroba koření a aromatických výtažků</v>
      </c>
    </row>
    <row r="409" spans="13:26">
      <c r="M409" s="324">
        <f>IF(ISNUMBER(SEARCH(ZAKL_DATA!$B$29,N409)),MAX($M$2:M408)+1,0)</f>
        <v>407</v>
      </c>
      <c r="N409" s="325" t="s">
        <v>2263</v>
      </c>
      <c r="O409" s="340" t="s">
        <v>2264</v>
      </c>
      <c r="Q409" s="327" t="str">
        <f>IFERROR(VLOOKUP(ROWS($Q$3:Q409),$M$3:$N$992,2,0),"")</f>
        <v>Výroba hotových pokrmů</v>
      </c>
      <c r="R409">
        <f>IF(ISNUMBER(SEARCH('1Př1'!$A$32,N409)),MAX($M$2:M408)+1,0)</f>
        <v>407</v>
      </c>
      <c r="S409" s="325" t="s">
        <v>2263</v>
      </c>
      <c r="T409" t="str">
        <f>IFERROR(VLOOKUP(ROWS($T$3:T409),$R$3:$S$992,2,0),"")</f>
        <v>Výroba hotových pokrmů</v>
      </c>
      <c r="U409">
        <f>IF(ISNUMBER(SEARCH('1Př1'!$A$33,N409)),MAX($M$2:M408)+1,0)</f>
        <v>407</v>
      </c>
      <c r="V409" s="325" t="s">
        <v>2263</v>
      </c>
      <c r="W409" t="str">
        <f>IFERROR(VLOOKUP(ROWS($W$3:W409),$U$3:$V$992,2,0),"")</f>
        <v>Výroba hotových pokrmů</v>
      </c>
      <c r="X409">
        <f>IF(ISNUMBER(SEARCH('1Př1'!$A$34,N409)),MAX($M$2:M408)+1,0)</f>
        <v>407</v>
      </c>
      <c r="Y409" s="325" t="s">
        <v>2263</v>
      </c>
      <c r="Z409" t="str">
        <f>IFERROR(VLOOKUP(ROWS($Z$3:Z409),$X$3:$Y$992,2,0),"")</f>
        <v>Výroba hotových pokrmů</v>
      </c>
    </row>
    <row r="410" spans="13:26">
      <c r="M410" s="324">
        <f>IF(ISNUMBER(SEARCH(ZAKL_DATA!$B$29,N410)),MAX($M$2:M409)+1,0)</f>
        <v>408</v>
      </c>
      <c r="N410" s="325" t="s">
        <v>2265</v>
      </c>
      <c r="O410" s="340" t="s">
        <v>2266</v>
      </c>
      <c r="Q410" s="327" t="str">
        <f>IFERROR(VLOOKUP(ROWS($Q$3:Q410),$M$3:$N$992,2,0),"")</f>
        <v>Výroba homogenizovaných potravinářských přípravků a dietních potravin</v>
      </c>
      <c r="R410">
        <f>IF(ISNUMBER(SEARCH('1Př1'!$A$32,N410)),MAX($M$2:M409)+1,0)</f>
        <v>408</v>
      </c>
      <c r="S410" s="325" t="s">
        <v>2265</v>
      </c>
      <c r="T410" t="str">
        <f>IFERROR(VLOOKUP(ROWS($T$3:T410),$R$3:$S$992,2,0),"")</f>
        <v>Výroba homogenizovaných potravinářských přípravků a dietních potravin</v>
      </c>
      <c r="U410">
        <f>IF(ISNUMBER(SEARCH('1Př1'!$A$33,N410)),MAX($M$2:M409)+1,0)</f>
        <v>408</v>
      </c>
      <c r="V410" s="325" t="s">
        <v>2265</v>
      </c>
      <c r="W410" t="str">
        <f>IFERROR(VLOOKUP(ROWS($W$3:W410),$U$3:$V$992,2,0),"")</f>
        <v>Výroba homogenizovaných potravinářských přípravků a dietních potravin</v>
      </c>
      <c r="X410">
        <f>IF(ISNUMBER(SEARCH('1Př1'!$A$34,N410)),MAX($M$2:M409)+1,0)</f>
        <v>408</v>
      </c>
      <c r="Y410" s="325" t="s">
        <v>2265</v>
      </c>
      <c r="Z410" t="str">
        <f>IFERROR(VLOOKUP(ROWS($Z$3:Z410),$X$3:$Y$992,2,0),"")</f>
        <v>Výroba homogenizovaných potravinářských přípravků a dietních potravin</v>
      </c>
    </row>
    <row r="411" spans="13:26">
      <c r="M411" s="324">
        <f>IF(ISNUMBER(SEARCH(ZAKL_DATA!$B$29,N411)),MAX($M$2:M410)+1,0)</f>
        <v>409</v>
      </c>
      <c r="N411" s="325" t="s">
        <v>2267</v>
      </c>
      <c r="O411" s="340" t="s">
        <v>2268</v>
      </c>
      <c r="Q411" s="327" t="str">
        <f>IFERROR(VLOOKUP(ROWS($Q$3:Q411),$M$3:$N$992,2,0),"")</f>
        <v>Výroba ostatních potravinářských výrobků j. n.</v>
      </c>
      <c r="R411">
        <f>IF(ISNUMBER(SEARCH('1Př1'!$A$32,N411)),MAX($M$2:M410)+1,0)</f>
        <v>409</v>
      </c>
      <c r="S411" s="325" t="s">
        <v>2267</v>
      </c>
      <c r="T411" t="str">
        <f>IFERROR(VLOOKUP(ROWS($T$3:T411),$R$3:$S$992,2,0),"")</f>
        <v>Výroba ostatních potravinářských výrobků j. n.</v>
      </c>
      <c r="U411">
        <f>IF(ISNUMBER(SEARCH('1Př1'!$A$33,N411)),MAX($M$2:M410)+1,0)</f>
        <v>409</v>
      </c>
      <c r="V411" s="325" t="s">
        <v>2267</v>
      </c>
      <c r="W411" t="str">
        <f>IFERROR(VLOOKUP(ROWS($W$3:W411),$U$3:$V$992,2,0),"")</f>
        <v>Výroba ostatních potravinářských výrobků j. n.</v>
      </c>
      <c r="X411">
        <f>IF(ISNUMBER(SEARCH('1Př1'!$A$34,N411)),MAX($M$2:M410)+1,0)</f>
        <v>409</v>
      </c>
      <c r="Y411" s="325" t="s">
        <v>2267</v>
      </c>
      <c r="Z411" t="str">
        <f>IFERROR(VLOOKUP(ROWS($Z$3:Z411),$X$3:$Y$992,2,0),"")</f>
        <v>Výroba ostatních potravinářských výrobků j. n.</v>
      </c>
    </row>
    <row r="412" spans="13:26">
      <c r="M412" s="324">
        <f>IF(ISNUMBER(SEARCH(ZAKL_DATA!$B$29,N412)),MAX($M$2:M411)+1,0)</f>
        <v>410</v>
      </c>
      <c r="N412" s="325" t="s">
        <v>2269</v>
      </c>
      <c r="O412" s="340" t="s">
        <v>2270</v>
      </c>
      <c r="Q412" s="327" t="str">
        <f>IFERROR(VLOOKUP(ROWS($Q$3:Q412),$M$3:$N$992,2,0),"")</f>
        <v>Výroba průmyslových krmiv pro hospodářská zvířata</v>
      </c>
      <c r="R412">
        <f>IF(ISNUMBER(SEARCH('1Př1'!$A$32,N412)),MAX($M$2:M411)+1,0)</f>
        <v>410</v>
      </c>
      <c r="S412" s="325" t="s">
        <v>2269</v>
      </c>
      <c r="T412" t="str">
        <f>IFERROR(VLOOKUP(ROWS($T$3:T412),$R$3:$S$992,2,0),"")</f>
        <v>Výroba průmyslových krmiv pro hospodářská zvířata</v>
      </c>
      <c r="U412">
        <f>IF(ISNUMBER(SEARCH('1Př1'!$A$33,N412)),MAX($M$2:M411)+1,0)</f>
        <v>410</v>
      </c>
      <c r="V412" s="325" t="s">
        <v>2269</v>
      </c>
      <c r="W412" t="str">
        <f>IFERROR(VLOOKUP(ROWS($W$3:W412),$U$3:$V$992,2,0),"")</f>
        <v>Výroba průmyslových krmiv pro hospodářská zvířata</v>
      </c>
      <c r="X412">
        <f>IF(ISNUMBER(SEARCH('1Př1'!$A$34,N412)),MAX($M$2:M411)+1,0)</f>
        <v>410</v>
      </c>
      <c r="Y412" s="325" t="s">
        <v>2269</v>
      </c>
      <c r="Z412" t="str">
        <f>IFERROR(VLOOKUP(ROWS($Z$3:Z412),$X$3:$Y$992,2,0),"")</f>
        <v>Výroba průmyslových krmiv pro hospodářská zvířata</v>
      </c>
    </row>
    <row r="413" spans="13:26">
      <c r="M413" s="324">
        <f>IF(ISNUMBER(SEARCH(ZAKL_DATA!$B$29,N413)),MAX($M$2:M412)+1,0)</f>
        <v>411</v>
      </c>
      <c r="N413" s="325" t="s">
        <v>2271</v>
      </c>
      <c r="O413" s="340" t="s">
        <v>2272</v>
      </c>
      <c r="Q413" s="327" t="str">
        <f>IFERROR(VLOOKUP(ROWS($Q$3:Q413),$M$3:$N$992,2,0),"")</f>
        <v>Výroba průmyslových krmiv pro zvířata v zájmovém chovu</v>
      </c>
      <c r="R413">
        <f>IF(ISNUMBER(SEARCH('1Př1'!$A$32,N413)),MAX($M$2:M412)+1,0)</f>
        <v>411</v>
      </c>
      <c r="S413" s="325" t="s">
        <v>2271</v>
      </c>
      <c r="T413" t="str">
        <f>IFERROR(VLOOKUP(ROWS($T$3:T413),$R$3:$S$992,2,0),"")</f>
        <v>Výroba průmyslových krmiv pro zvířata v zájmovém chovu</v>
      </c>
      <c r="U413">
        <f>IF(ISNUMBER(SEARCH('1Př1'!$A$33,N413)),MAX($M$2:M412)+1,0)</f>
        <v>411</v>
      </c>
      <c r="V413" s="325" t="s">
        <v>2271</v>
      </c>
      <c r="W413" t="str">
        <f>IFERROR(VLOOKUP(ROWS($W$3:W413),$U$3:$V$992,2,0),"")</f>
        <v>Výroba průmyslových krmiv pro zvířata v zájmovém chovu</v>
      </c>
      <c r="X413">
        <f>IF(ISNUMBER(SEARCH('1Př1'!$A$34,N413)),MAX($M$2:M412)+1,0)</f>
        <v>411</v>
      </c>
      <c r="Y413" s="325" t="s">
        <v>2271</v>
      </c>
      <c r="Z413" t="str">
        <f>IFERROR(VLOOKUP(ROWS($Z$3:Z413),$X$3:$Y$992,2,0),"")</f>
        <v>Výroba průmyslových krmiv pro zvířata v zájmovém chovu</v>
      </c>
    </row>
    <row r="414" spans="13:26">
      <c r="M414" s="324">
        <f>IF(ISNUMBER(SEARCH(ZAKL_DATA!$B$29,N414)),MAX($M$2:M413)+1,0)</f>
        <v>412</v>
      </c>
      <c r="N414" s="325" t="s">
        <v>2273</v>
      </c>
      <c r="O414" s="340" t="s">
        <v>2274</v>
      </c>
      <c r="Q414" s="327" t="str">
        <f>IFERROR(VLOOKUP(ROWS($Q$3:Q414),$M$3:$N$992,2,0),"")</f>
        <v>Destilace, rektifikace a míchání lihovin</v>
      </c>
      <c r="R414">
        <f>IF(ISNUMBER(SEARCH('1Př1'!$A$32,N414)),MAX($M$2:M413)+1,0)</f>
        <v>412</v>
      </c>
      <c r="S414" s="325" t="s">
        <v>2273</v>
      </c>
      <c r="T414" t="str">
        <f>IFERROR(VLOOKUP(ROWS($T$3:T414),$R$3:$S$992,2,0),"")</f>
        <v>Destilace, rektifikace a míchání lihovin</v>
      </c>
      <c r="U414">
        <f>IF(ISNUMBER(SEARCH('1Př1'!$A$33,N414)),MAX($M$2:M413)+1,0)</f>
        <v>412</v>
      </c>
      <c r="V414" s="325" t="s">
        <v>2273</v>
      </c>
      <c r="W414" t="str">
        <f>IFERROR(VLOOKUP(ROWS($W$3:W414),$U$3:$V$992,2,0),"")</f>
        <v>Destilace, rektifikace a míchání lihovin</v>
      </c>
      <c r="X414">
        <f>IF(ISNUMBER(SEARCH('1Př1'!$A$34,N414)),MAX($M$2:M413)+1,0)</f>
        <v>412</v>
      </c>
      <c r="Y414" s="325" t="s">
        <v>2273</v>
      </c>
      <c r="Z414" t="str">
        <f>IFERROR(VLOOKUP(ROWS($Z$3:Z414),$X$3:$Y$992,2,0),"")</f>
        <v>Destilace, rektifikace a míchání lihovin</v>
      </c>
    </row>
    <row r="415" spans="13:26">
      <c r="M415" s="324">
        <f>IF(ISNUMBER(SEARCH(ZAKL_DATA!$B$29,N415)),MAX($M$2:M414)+1,0)</f>
        <v>413</v>
      </c>
      <c r="N415" s="325" t="s">
        <v>2275</v>
      </c>
      <c r="O415" s="340" t="s">
        <v>2276</v>
      </c>
      <c r="Q415" s="327" t="str">
        <f>IFERROR(VLOOKUP(ROWS($Q$3:Q415),$M$3:$N$992,2,0),"")</f>
        <v>Výroba vína z vinných hroznů</v>
      </c>
      <c r="R415">
        <f>IF(ISNUMBER(SEARCH('1Př1'!$A$32,N415)),MAX($M$2:M414)+1,0)</f>
        <v>413</v>
      </c>
      <c r="S415" s="325" t="s">
        <v>2275</v>
      </c>
      <c r="T415" t="str">
        <f>IFERROR(VLOOKUP(ROWS($T$3:T415),$R$3:$S$992,2,0),"")</f>
        <v>Výroba vína z vinných hroznů</v>
      </c>
      <c r="U415">
        <f>IF(ISNUMBER(SEARCH('1Př1'!$A$33,N415)),MAX($M$2:M414)+1,0)</f>
        <v>413</v>
      </c>
      <c r="V415" s="325" t="s">
        <v>2275</v>
      </c>
      <c r="W415" t="str">
        <f>IFERROR(VLOOKUP(ROWS($W$3:W415),$U$3:$V$992,2,0),"")</f>
        <v>Výroba vína z vinných hroznů</v>
      </c>
      <c r="X415">
        <f>IF(ISNUMBER(SEARCH('1Př1'!$A$34,N415)),MAX($M$2:M414)+1,0)</f>
        <v>413</v>
      </c>
      <c r="Y415" s="325" t="s">
        <v>2275</v>
      </c>
      <c r="Z415" t="str">
        <f>IFERROR(VLOOKUP(ROWS($Z$3:Z415),$X$3:$Y$992,2,0),"")</f>
        <v>Výroba vína z vinných hroznů</v>
      </c>
    </row>
    <row r="416" spans="13:26">
      <c r="M416" s="324">
        <f>IF(ISNUMBER(SEARCH(ZAKL_DATA!$B$29,N416)),MAX($M$2:M415)+1,0)</f>
        <v>414</v>
      </c>
      <c r="N416" s="325" t="s">
        <v>2277</v>
      </c>
      <c r="O416" s="340" t="s">
        <v>2278</v>
      </c>
      <c r="Q416" s="327" t="str">
        <f>IFERROR(VLOOKUP(ROWS($Q$3:Q416),$M$3:$N$992,2,0),"")</f>
        <v>Výroba jablečného vína a jiných ovocných vín</v>
      </c>
      <c r="R416">
        <f>IF(ISNUMBER(SEARCH('1Př1'!$A$32,N416)),MAX($M$2:M415)+1,0)</f>
        <v>414</v>
      </c>
      <c r="S416" s="325" t="s">
        <v>2277</v>
      </c>
      <c r="T416" t="str">
        <f>IFERROR(VLOOKUP(ROWS($T$3:T416),$R$3:$S$992,2,0),"")</f>
        <v>Výroba jablečného vína a jiných ovocných vín</v>
      </c>
      <c r="U416">
        <f>IF(ISNUMBER(SEARCH('1Př1'!$A$33,N416)),MAX($M$2:M415)+1,0)</f>
        <v>414</v>
      </c>
      <c r="V416" s="325" t="s">
        <v>2277</v>
      </c>
      <c r="W416" t="str">
        <f>IFERROR(VLOOKUP(ROWS($W$3:W416),$U$3:$V$992,2,0),"")</f>
        <v>Výroba jablečného vína a jiných ovocných vín</v>
      </c>
      <c r="X416">
        <f>IF(ISNUMBER(SEARCH('1Př1'!$A$34,N416)),MAX($M$2:M415)+1,0)</f>
        <v>414</v>
      </c>
      <c r="Y416" s="325" t="s">
        <v>2277</v>
      </c>
      <c r="Z416" t="str">
        <f>IFERROR(VLOOKUP(ROWS($Z$3:Z416),$X$3:$Y$992,2,0),"")</f>
        <v>Výroba jablečného vína a jiných ovocných vín</v>
      </c>
    </row>
    <row r="417" spans="13:26">
      <c r="M417" s="324">
        <f>IF(ISNUMBER(SEARCH(ZAKL_DATA!$B$29,N417)),MAX($M$2:M416)+1,0)</f>
        <v>415</v>
      </c>
      <c r="N417" s="325" t="s">
        <v>2279</v>
      </c>
      <c r="O417" s="340" t="s">
        <v>2280</v>
      </c>
      <c r="Q417" s="327" t="str">
        <f>IFERROR(VLOOKUP(ROWS($Q$3:Q417),$M$3:$N$992,2,0),"")</f>
        <v>Výroba ostatních nedestilovaných kvašených nápojů</v>
      </c>
      <c r="R417">
        <f>IF(ISNUMBER(SEARCH('1Př1'!$A$32,N417)),MAX($M$2:M416)+1,0)</f>
        <v>415</v>
      </c>
      <c r="S417" s="325" t="s">
        <v>2279</v>
      </c>
      <c r="T417" t="str">
        <f>IFERROR(VLOOKUP(ROWS($T$3:T417),$R$3:$S$992,2,0),"")</f>
        <v>Výroba ostatních nedestilovaných kvašených nápojů</v>
      </c>
      <c r="U417">
        <f>IF(ISNUMBER(SEARCH('1Př1'!$A$33,N417)),MAX($M$2:M416)+1,0)</f>
        <v>415</v>
      </c>
      <c r="V417" s="325" t="s">
        <v>2279</v>
      </c>
      <c r="W417" t="str">
        <f>IFERROR(VLOOKUP(ROWS($W$3:W417),$U$3:$V$992,2,0),"")</f>
        <v>Výroba ostatních nedestilovaných kvašených nápojů</v>
      </c>
      <c r="X417">
        <f>IF(ISNUMBER(SEARCH('1Př1'!$A$34,N417)),MAX($M$2:M416)+1,0)</f>
        <v>415</v>
      </c>
      <c r="Y417" s="325" t="s">
        <v>2279</v>
      </c>
      <c r="Z417" t="str">
        <f>IFERROR(VLOOKUP(ROWS($Z$3:Z417),$X$3:$Y$992,2,0),"")</f>
        <v>Výroba ostatních nedestilovaných kvašených nápojů</v>
      </c>
    </row>
    <row r="418" spans="13:26">
      <c r="M418" s="324">
        <f>IF(ISNUMBER(SEARCH(ZAKL_DATA!$B$29,N418)),MAX($M$2:M417)+1,0)</f>
        <v>416</v>
      </c>
      <c r="N418" s="325" t="s">
        <v>2281</v>
      </c>
      <c r="O418" s="340" t="s">
        <v>2282</v>
      </c>
      <c r="Q418" s="327" t="str">
        <f>IFERROR(VLOOKUP(ROWS($Q$3:Q418),$M$3:$N$992,2,0),"")</f>
        <v>Výroba piva</v>
      </c>
      <c r="R418">
        <f>IF(ISNUMBER(SEARCH('1Př1'!$A$32,N418)),MAX($M$2:M417)+1,0)</f>
        <v>416</v>
      </c>
      <c r="S418" s="325" t="s">
        <v>2281</v>
      </c>
      <c r="T418" t="str">
        <f>IFERROR(VLOOKUP(ROWS($T$3:T418),$R$3:$S$992,2,0),"")</f>
        <v>Výroba piva</v>
      </c>
      <c r="U418">
        <f>IF(ISNUMBER(SEARCH('1Př1'!$A$33,N418)),MAX($M$2:M417)+1,0)</f>
        <v>416</v>
      </c>
      <c r="V418" s="325" t="s">
        <v>2281</v>
      </c>
      <c r="W418" t="str">
        <f>IFERROR(VLOOKUP(ROWS($W$3:W418),$U$3:$V$992,2,0),"")</f>
        <v>Výroba piva</v>
      </c>
      <c r="X418">
        <f>IF(ISNUMBER(SEARCH('1Př1'!$A$34,N418)),MAX($M$2:M417)+1,0)</f>
        <v>416</v>
      </c>
      <c r="Y418" s="325" t="s">
        <v>2281</v>
      </c>
      <c r="Z418" t="str">
        <f>IFERROR(VLOOKUP(ROWS($Z$3:Z418),$X$3:$Y$992,2,0),"")</f>
        <v>Výroba piva</v>
      </c>
    </row>
    <row r="419" spans="13:26">
      <c r="M419" s="324">
        <f>IF(ISNUMBER(SEARCH(ZAKL_DATA!$B$29,N419)),MAX($M$2:M418)+1,0)</f>
        <v>417</v>
      </c>
      <c r="N419" s="325" t="s">
        <v>2283</v>
      </c>
      <c r="O419" s="340" t="s">
        <v>2284</v>
      </c>
      <c r="Q419" s="327" t="str">
        <f>IFERROR(VLOOKUP(ROWS($Q$3:Q419),$M$3:$N$992,2,0),"")</f>
        <v>Výroba sladu</v>
      </c>
      <c r="R419">
        <f>IF(ISNUMBER(SEARCH('1Př1'!$A$32,N419)),MAX($M$2:M418)+1,0)</f>
        <v>417</v>
      </c>
      <c r="S419" s="325" t="s">
        <v>2283</v>
      </c>
      <c r="T419" t="str">
        <f>IFERROR(VLOOKUP(ROWS($T$3:T419),$R$3:$S$992,2,0),"")</f>
        <v>Výroba sladu</v>
      </c>
      <c r="U419">
        <f>IF(ISNUMBER(SEARCH('1Př1'!$A$33,N419)),MAX($M$2:M418)+1,0)</f>
        <v>417</v>
      </c>
      <c r="V419" s="325" t="s">
        <v>2283</v>
      </c>
      <c r="W419" t="str">
        <f>IFERROR(VLOOKUP(ROWS($W$3:W419),$U$3:$V$992,2,0),"")</f>
        <v>Výroba sladu</v>
      </c>
      <c r="X419">
        <f>IF(ISNUMBER(SEARCH('1Př1'!$A$34,N419)),MAX($M$2:M418)+1,0)</f>
        <v>417</v>
      </c>
      <c r="Y419" s="325" t="s">
        <v>2283</v>
      </c>
      <c r="Z419" t="str">
        <f>IFERROR(VLOOKUP(ROWS($Z$3:Z419),$X$3:$Y$992,2,0),"")</f>
        <v>Výroba sladu</v>
      </c>
    </row>
    <row r="420" spans="13:26">
      <c r="M420" s="324">
        <f>IF(ISNUMBER(SEARCH(ZAKL_DATA!$B$29,N420)),MAX($M$2:M419)+1,0)</f>
        <v>418</v>
      </c>
      <c r="N420" s="325" t="s">
        <v>2285</v>
      </c>
      <c r="O420" s="340" t="s">
        <v>2286</v>
      </c>
      <c r="Q420" s="327" t="str">
        <f>IFERROR(VLOOKUP(ROWS($Q$3:Q420),$M$3:$N$992,2,0),"")</f>
        <v>Výroba nealkohol.nápojů;stáčení minerálních a ostatních vod do lahví</v>
      </c>
      <c r="R420">
        <f>IF(ISNUMBER(SEARCH('1Př1'!$A$32,N420)),MAX($M$2:M419)+1,0)</f>
        <v>418</v>
      </c>
      <c r="S420" s="325" t="s">
        <v>2285</v>
      </c>
      <c r="T420" t="str">
        <f>IFERROR(VLOOKUP(ROWS($T$3:T420),$R$3:$S$992,2,0),"")</f>
        <v>Výroba nealkohol.nápojů;stáčení minerálních a ostatních vod do lahví</v>
      </c>
      <c r="U420">
        <f>IF(ISNUMBER(SEARCH('1Př1'!$A$33,N420)),MAX($M$2:M419)+1,0)</f>
        <v>418</v>
      </c>
      <c r="V420" s="325" t="s">
        <v>2285</v>
      </c>
      <c r="W420" t="str">
        <f>IFERROR(VLOOKUP(ROWS($W$3:W420),$U$3:$V$992,2,0),"")</f>
        <v>Výroba nealkohol.nápojů;stáčení minerálních a ostatních vod do lahví</v>
      </c>
      <c r="X420">
        <f>IF(ISNUMBER(SEARCH('1Př1'!$A$34,N420)),MAX($M$2:M419)+1,0)</f>
        <v>418</v>
      </c>
      <c r="Y420" s="325" t="s">
        <v>2285</v>
      </c>
      <c r="Z420" t="str">
        <f>IFERROR(VLOOKUP(ROWS($Z$3:Z420),$X$3:$Y$992,2,0),"")</f>
        <v>Výroba nealkohol.nápojů;stáčení minerálních a ostatních vod do lahví</v>
      </c>
    </row>
    <row r="421" spans="13:26">
      <c r="M421" s="324">
        <f>IF(ISNUMBER(SEARCH(ZAKL_DATA!$B$29,N421)),MAX($M$2:M420)+1,0)</f>
        <v>419</v>
      </c>
      <c r="N421" s="325" t="s">
        <v>2287</v>
      </c>
      <c r="O421" s="340" t="s">
        <v>2288</v>
      </c>
      <c r="Q421" s="327" t="str">
        <f>IFERROR(VLOOKUP(ROWS($Q$3:Q421),$M$3:$N$992,2,0),"")</f>
        <v>Výroba pletených a háčkovaných materiálů</v>
      </c>
      <c r="R421">
        <f>IF(ISNUMBER(SEARCH('1Př1'!$A$32,N421)),MAX($M$2:M420)+1,0)</f>
        <v>419</v>
      </c>
      <c r="S421" s="325" t="s">
        <v>2287</v>
      </c>
      <c r="T421" t="str">
        <f>IFERROR(VLOOKUP(ROWS($T$3:T421),$R$3:$S$992,2,0),"")</f>
        <v>Výroba pletených a háčkovaných materiálů</v>
      </c>
      <c r="U421">
        <f>IF(ISNUMBER(SEARCH('1Př1'!$A$33,N421)),MAX($M$2:M420)+1,0)</f>
        <v>419</v>
      </c>
      <c r="V421" s="325" t="s">
        <v>2287</v>
      </c>
      <c r="W421" t="str">
        <f>IFERROR(VLOOKUP(ROWS($W$3:W421),$U$3:$V$992,2,0),"")</f>
        <v>Výroba pletených a háčkovaných materiálů</v>
      </c>
      <c r="X421">
        <f>IF(ISNUMBER(SEARCH('1Př1'!$A$34,N421)),MAX($M$2:M420)+1,0)</f>
        <v>419</v>
      </c>
      <c r="Y421" s="325" t="s">
        <v>2287</v>
      </c>
      <c r="Z421" t="str">
        <f>IFERROR(VLOOKUP(ROWS($Z$3:Z421),$X$3:$Y$992,2,0),"")</f>
        <v>Výroba pletených a háčkovaných materiálů</v>
      </c>
    </row>
    <row r="422" spans="13:26">
      <c r="M422" s="324">
        <f>IF(ISNUMBER(SEARCH(ZAKL_DATA!$B$29,N422)),MAX($M$2:M421)+1,0)</f>
        <v>420</v>
      </c>
      <c r="N422" s="325" t="s">
        <v>2289</v>
      </c>
      <c r="O422" s="340" t="s">
        <v>2290</v>
      </c>
      <c r="Q422" s="327" t="str">
        <f>IFERROR(VLOOKUP(ROWS($Q$3:Q422),$M$3:$N$992,2,0),"")</f>
        <v>Výroba konfekčních textilních výrobků, kromě oděvů</v>
      </c>
      <c r="R422">
        <f>IF(ISNUMBER(SEARCH('1Př1'!$A$32,N422)),MAX($M$2:M421)+1,0)</f>
        <v>420</v>
      </c>
      <c r="S422" s="325" t="s">
        <v>2289</v>
      </c>
      <c r="T422" t="str">
        <f>IFERROR(VLOOKUP(ROWS($T$3:T422),$R$3:$S$992,2,0),"")</f>
        <v>Výroba konfekčních textilních výrobků, kromě oděvů</v>
      </c>
      <c r="U422">
        <f>IF(ISNUMBER(SEARCH('1Př1'!$A$33,N422)),MAX($M$2:M421)+1,0)</f>
        <v>420</v>
      </c>
      <c r="V422" s="325" t="s">
        <v>2289</v>
      </c>
      <c r="W422" t="str">
        <f>IFERROR(VLOOKUP(ROWS($W$3:W422),$U$3:$V$992,2,0),"")</f>
        <v>Výroba konfekčních textilních výrobků, kromě oděvů</v>
      </c>
      <c r="X422">
        <f>IF(ISNUMBER(SEARCH('1Př1'!$A$34,N422)),MAX($M$2:M421)+1,0)</f>
        <v>420</v>
      </c>
      <c r="Y422" s="325" t="s">
        <v>2289</v>
      </c>
      <c r="Z422" t="str">
        <f>IFERROR(VLOOKUP(ROWS($Z$3:Z422),$X$3:$Y$992,2,0),"")</f>
        <v>Výroba konfekčních textilních výrobků, kromě oděvů</v>
      </c>
    </row>
    <row r="423" spans="13:26">
      <c r="M423" s="324">
        <f>IF(ISNUMBER(SEARCH(ZAKL_DATA!$B$29,N423)),MAX($M$2:M422)+1,0)</f>
        <v>421</v>
      </c>
      <c r="N423" s="325" t="s">
        <v>2291</v>
      </c>
      <c r="O423" s="340" t="s">
        <v>2292</v>
      </c>
      <c r="Q423" s="327" t="str">
        <f>IFERROR(VLOOKUP(ROWS($Q$3:Q423),$M$3:$N$992,2,0),"")</f>
        <v>Výroba koberců a kobercových předložek</v>
      </c>
      <c r="R423">
        <f>IF(ISNUMBER(SEARCH('1Př1'!$A$32,N423)),MAX($M$2:M422)+1,0)</f>
        <v>421</v>
      </c>
      <c r="S423" s="325" t="s">
        <v>2291</v>
      </c>
      <c r="T423" t="str">
        <f>IFERROR(VLOOKUP(ROWS($T$3:T423),$R$3:$S$992,2,0),"")</f>
        <v>Výroba koberců a kobercových předložek</v>
      </c>
      <c r="U423">
        <f>IF(ISNUMBER(SEARCH('1Př1'!$A$33,N423)),MAX($M$2:M422)+1,0)</f>
        <v>421</v>
      </c>
      <c r="V423" s="325" t="s">
        <v>2291</v>
      </c>
      <c r="W423" t="str">
        <f>IFERROR(VLOOKUP(ROWS($W$3:W423),$U$3:$V$992,2,0),"")</f>
        <v>Výroba koberců a kobercových předložek</v>
      </c>
      <c r="X423">
        <f>IF(ISNUMBER(SEARCH('1Př1'!$A$34,N423)),MAX($M$2:M422)+1,0)</f>
        <v>421</v>
      </c>
      <c r="Y423" s="325" t="s">
        <v>2291</v>
      </c>
      <c r="Z423" t="str">
        <f>IFERROR(VLOOKUP(ROWS($Z$3:Z423),$X$3:$Y$992,2,0),"")</f>
        <v>Výroba koberců a kobercových předložek</v>
      </c>
    </row>
    <row r="424" spans="13:26">
      <c r="M424" s="324">
        <f>IF(ISNUMBER(SEARCH(ZAKL_DATA!$B$29,N424)),MAX($M$2:M423)+1,0)</f>
        <v>422</v>
      </c>
      <c r="N424" s="325" t="s">
        <v>2293</v>
      </c>
      <c r="O424" s="340" t="s">
        <v>2294</v>
      </c>
      <c r="Q424" s="327" t="str">
        <f>IFERROR(VLOOKUP(ROWS($Q$3:Q424),$M$3:$N$992,2,0),"")</f>
        <v>Výroba lan, provazů a síťovaných výrobků</v>
      </c>
      <c r="R424">
        <f>IF(ISNUMBER(SEARCH('1Př1'!$A$32,N424)),MAX($M$2:M423)+1,0)</f>
        <v>422</v>
      </c>
      <c r="S424" s="325" t="s">
        <v>2293</v>
      </c>
      <c r="T424" t="str">
        <f>IFERROR(VLOOKUP(ROWS($T$3:T424),$R$3:$S$992,2,0),"")</f>
        <v>Výroba lan, provazů a síťovaných výrobků</v>
      </c>
      <c r="U424">
        <f>IF(ISNUMBER(SEARCH('1Př1'!$A$33,N424)),MAX($M$2:M423)+1,0)</f>
        <v>422</v>
      </c>
      <c r="V424" s="325" t="s">
        <v>2293</v>
      </c>
      <c r="W424" t="str">
        <f>IFERROR(VLOOKUP(ROWS($W$3:W424),$U$3:$V$992,2,0),"")</f>
        <v>Výroba lan, provazů a síťovaných výrobků</v>
      </c>
      <c r="X424">
        <f>IF(ISNUMBER(SEARCH('1Př1'!$A$34,N424)),MAX($M$2:M423)+1,0)</f>
        <v>422</v>
      </c>
      <c r="Y424" s="325" t="s">
        <v>2293</v>
      </c>
      <c r="Z424" t="str">
        <f>IFERROR(VLOOKUP(ROWS($Z$3:Z424),$X$3:$Y$992,2,0),"")</f>
        <v>Výroba lan, provazů a síťovaných výrobků</v>
      </c>
    </row>
    <row r="425" spans="13:26">
      <c r="M425" s="324">
        <f>IF(ISNUMBER(SEARCH(ZAKL_DATA!$B$29,N425)),MAX($M$2:M424)+1,0)</f>
        <v>423</v>
      </c>
      <c r="N425" s="325" t="s">
        <v>2295</v>
      </c>
      <c r="O425" s="340" t="s">
        <v>2296</v>
      </c>
      <c r="Q425" s="327" t="str">
        <f>IFERROR(VLOOKUP(ROWS($Q$3:Q425),$M$3:$N$992,2,0),"")</f>
        <v>Výroba netkaných textilií a výrobků z nich, kromě oděvů</v>
      </c>
      <c r="R425">
        <f>IF(ISNUMBER(SEARCH('1Př1'!$A$32,N425)),MAX($M$2:M424)+1,0)</f>
        <v>423</v>
      </c>
      <c r="S425" s="325" t="s">
        <v>2295</v>
      </c>
      <c r="T425" t="str">
        <f>IFERROR(VLOOKUP(ROWS($T$3:T425),$R$3:$S$992,2,0),"")</f>
        <v>Výroba netkaných textilií a výrobků z nich, kromě oděvů</v>
      </c>
      <c r="U425">
        <f>IF(ISNUMBER(SEARCH('1Př1'!$A$33,N425)),MAX($M$2:M424)+1,0)</f>
        <v>423</v>
      </c>
      <c r="V425" s="325" t="s">
        <v>2295</v>
      </c>
      <c r="W425" t="str">
        <f>IFERROR(VLOOKUP(ROWS($W$3:W425),$U$3:$V$992,2,0),"")</f>
        <v>Výroba netkaných textilií a výrobků z nich, kromě oděvů</v>
      </c>
      <c r="X425">
        <f>IF(ISNUMBER(SEARCH('1Př1'!$A$34,N425)),MAX($M$2:M424)+1,0)</f>
        <v>423</v>
      </c>
      <c r="Y425" s="325" t="s">
        <v>2295</v>
      </c>
      <c r="Z425" t="str">
        <f>IFERROR(VLOOKUP(ROWS($Z$3:Z425),$X$3:$Y$992,2,0),"")</f>
        <v>Výroba netkaných textilií a výrobků z nich, kromě oděvů</v>
      </c>
    </row>
    <row r="426" spans="13:26">
      <c r="M426" s="324">
        <f>IF(ISNUMBER(SEARCH(ZAKL_DATA!$B$29,N426)),MAX($M$2:M425)+1,0)</f>
        <v>424</v>
      </c>
      <c r="N426" s="325" t="s">
        <v>2297</v>
      </c>
      <c r="O426" s="340" t="s">
        <v>2298</v>
      </c>
      <c r="Q426" s="327" t="str">
        <f>IFERROR(VLOOKUP(ROWS($Q$3:Q426),$M$3:$N$992,2,0),"")</f>
        <v>Výroba ostatních technických a průmyslových textilií</v>
      </c>
      <c r="R426">
        <f>IF(ISNUMBER(SEARCH('1Př1'!$A$32,N426)),MAX($M$2:M425)+1,0)</f>
        <v>424</v>
      </c>
      <c r="S426" s="325" t="s">
        <v>2297</v>
      </c>
      <c r="T426" t="str">
        <f>IFERROR(VLOOKUP(ROWS($T$3:T426),$R$3:$S$992,2,0),"")</f>
        <v>Výroba ostatních technických a průmyslových textilií</v>
      </c>
      <c r="U426">
        <f>IF(ISNUMBER(SEARCH('1Př1'!$A$33,N426)),MAX($M$2:M425)+1,0)</f>
        <v>424</v>
      </c>
      <c r="V426" s="325" t="s">
        <v>2297</v>
      </c>
      <c r="W426" t="str">
        <f>IFERROR(VLOOKUP(ROWS($W$3:W426),$U$3:$V$992,2,0),"")</f>
        <v>Výroba ostatních technických a průmyslových textilií</v>
      </c>
      <c r="X426">
        <f>IF(ISNUMBER(SEARCH('1Př1'!$A$34,N426)),MAX($M$2:M425)+1,0)</f>
        <v>424</v>
      </c>
      <c r="Y426" s="325" t="s">
        <v>2297</v>
      </c>
      <c r="Z426" t="str">
        <f>IFERROR(VLOOKUP(ROWS($Z$3:Z426),$X$3:$Y$992,2,0),"")</f>
        <v>Výroba ostatních technických a průmyslových textilií</v>
      </c>
    </row>
    <row r="427" spans="13:26">
      <c r="M427" s="324">
        <f>IF(ISNUMBER(SEARCH(ZAKL_DATA!$B$29,N427)),MAX($M$2:M426)+1,0)</f>
        <v>425</v>
      </c>
      <c r="N427" s="325" t="s">
        <v>2299</v>
      </c>
      <c r="O427" s="340" t="s">
        <v>2300</v>
      </c>
      <c r="Q427" s="327" t="str">
        <f>IFERROR(VLOOKUP(ROWS($Q$3:Q427),$M$3:$N$992,2,0),"")</f>
        <v>Výroba ostatních textilií j. n.</v>
      </c>
      <c r="R427">
        <f>IF(ISNUMBER(SEARCH('1Př1'!$A$32,N427)),MAX($M$2:M426)+1,0)</f>
        <v>425</v>
      </c>
      <c r="S427" s="325" t="s">
        <v>2299</v>
      </c>
      <c r="T427" t="str">
        <f>IFERROR(VLOOKUP(ROWS($T$3:T427),$R$3:$S$992,2,0),"")</f>
        <v>Výroba ostatních textilií j. n.</v>
      </c>
      <c r="U427">
        <f>IF(ISNUMBER(SEARCH('1Př1'!$A$33,N427)),MAX($M$2:M426)+1,0)</f>
        <v>425</v>
      </c>
      <c r="V427" s="325" t="s">
        <v>2299</v>
      </c>
      <c r="W427" t="str">
        <f>IFERROR(VLOOKUP(ROWS($W$3:W427),$U$3:$V$992,2,0),"")</f>
        <v>Výroba ostatních textilií j. n.</v>
      </c>
      <c r="X427">
        <f>IF(ISNUMBER(SEARCH('1Př1'!$A$34,N427)),MAX($M$2:M426)+1,0)</f>
        <v>425</v>
      </c>
      <c r="Y427" s="325" t="s">
        <v>2299</v>
      </c>
      <c r="Z427" t="str">
        <f>IFERROR(VLOOKUP(ROWS($Z$3:Z427),$X$3:$Y$992,2,0),"")</f>
        <v>Výroba ostatních textilií j. n.</v>
      </c>
    </row>
    <row r="428" spans="13:26">
      <c r="M428" s="324">
        <f>IF(ISNUMBER(SEARCH(ZAKL_DATA!$B$29,N428)),MAX($M$2:M427)+1,0)</f>
        <v>426</v>
      </c>
      <c r="N428" s="325" t="s">
        <v>2301</v>
      </c>
      <c r="O428" s="340" t="s">
        <v>2302</v>
      </c>
      <c r="Q428" s="327" t="str">
        <f>IFERROR(VLOOKUP(ROWS($Q$3:Q428),$M$3:$N$992,2,0),"")</f>
        <v>Výroba kožených oděvů</v>
      </c>
      <c r="R428">
        <f>IF(ISNUMBER(SEARCH('1Př1'!$A$32,N428)),MAX($M$2:M427)+1,0)</f>
        <v>426</v>
      </c>
      <c r="S428" s="325" t="s">
        <v>2301</v>
      </c>
      <c r="T428" t="str">
        <f>IFERROR(VLOOKUP(ROWS($T$3:T428),$R$3:$S$992,2,0),"")</f>
        <v>Výroba kožených oděvů</v>
      </c>
      <c r="U428">
        <f>IF(ISNUMBER(SEARCH('1Př1'!$A$33,N428)),MAX($M$2:M427)+1,0)</f>
        <v>426</v>
      </c>
      <c r="V428" s="325" t="s">
        <v>2301</v>
      </c>
      <c r="W428" t="str">
        <f>IFERROR(VLOOKUP(ROWS($W$3:W428),$U$3:$V$992,2,0),"")</f>
        <v>Výroba kožených oděvů</v>
      </c>
      <c r="X428">
        <f>IF(ISNUMBER(SEARCH('1Př1'!$A$34,N428)),MAX($M$2:M427)+1,0)</f>
        <v>426</v>
      </c>
      <c r="Y428" s="325" t="s">
        <v>2301</v>
      </c>
      <c r="Z428" t="str">
        <f>IFERROR(VLOOKUP(ROWS($Z$3:Z428),$X$3:$Y$992,2,0),"")</f>
        <v>Výroba kožených oděvů</v>
      </c>
    </row>
    <row r="429" spans="13:26">
      <c r="M429" s="324">
        <f>IF(ISNUMBER(SEARCH(ZAKL_DATA!$B$29,N429)),MAX($M$2:M428)+1,0)</f>
        <v>427</v>
      </c>
      <c r="N429" s="325" t="s">
        <v>2303</v>
      </c>
      <c r="O429" s="340" t="s">
        <v>2304</v>
      </c>
      <c r="Q429" s="327" t="str">
        <f>IFERROR(VLOOKUP(ROWS($Q$3:Q429),$M$3:$N$992,2,0),"")</f>
        <v>Výroba pracovních oděvů</v>
      </c>
      <c r="R429">
        <f>IF(ISNUMBER(SEARCH('1Př1'!$A$32,N429)),MAX($M$2:M428)+1,0)</f>
        <v>427</v>
      </c>
      <c r="S429" s="325" t="s">
        <v>2303</v>
      </c>
      <c r="T429" t="str">
        <f>IFERROR(VLOOKUP(ROWS($T$3:T429),$R$3:$S$992,2,0),"")</f>
        <v>Výroba pracovních oděvů</v>
      </c>
      <c r="U429">
        <f>IF(ISNUMBER(SEARCH('1Př1'!$A$33,N429)),MAX($M$2:M428)+1,0)</f>
        <v>427</v>
      </c>
      <c r="V429" s="325" t="s">
        <v>2303</v>
      </c>
      <c r="W429" t="str">
        <f>IFERROR(VLOOKUP(ROWS($W$3:W429),$U$3:$V$992,2,0),"")</f>
        <v>Výroba pracovních oděvů</v>
      </c>
      <c r="X429">
        <f>IF(ISNUMBER(SEARCH('1Př1'!$A$34,N429)),MAX($M$2:M428)+1,0)</f>
        <v>427</v>
      </c>
      <c r="Y429" s="325" t="s">
        <v>2303</v>
      </c>
      <c r="Z429" t="str">
        <f>IFERROR(VLOOKUP(ROWS($Z$3:Z429),$X$3:$Y$992,2,0),"")</f>
        <v>Výroba pracovních oděvů</v>
      </c>
    </row>
    <row r="430" spans="13:26">
      <c r="M430" s="324">
        <f>IF(ISNUMBER(SEARCH(ZAKL_DATA!$B$29,N430)),MAX($M$2:M429)+1,0)</f>
        <v>428</v>
      </c>
      <c r="N430" s="325" t="s">
        <v>2305</v>
      </c>
      <c r="O430" s="340" t="s">
        <v>2306</v>
      </c>
      <c r="Q430" s="327" t="str">
        <f>IFERROR(VLOOKUP(ROWS($Q$3:Q430),$M$3:$N$992,2,0),"")</f>
        <v>Výroba ostatních svrchních oděvů</v>
      </c>
      <c r="R430">
        <f>IF(ISNUMBER(SEARCH('1Př1'!$A$32,N430)),MAX($M$2:M429)+1,0)</f>
        <v>428</v>
      </c>
      <c r="S430" s="325" t="s">
        <v>2305</v>
      </c>
      <c r="T430" t="str">
        <f>IFERROR(VLOOKUP(ROWS($T$3:T430),$R$3:$S$992,2,0),"")</f>
        <v>Výroba ostatních svrchních oděvů</v>
      </c>
      <c r="U430">
        <f>IF(ISNUMBER(SEARCH('1Př1'!$A$33,N430)),MAX($M$2:M429)+1,0)</f>
        <v>428</v>
      </c>
      <c r="V430" s="325" t="s">
        <v>2305</v>
      </c>
      <c r="W430" t="str">
        <f>IFERROR(VLOOKUP(ROWS($W$3:W430),$U$3:$V$992,2,0),"")</f>
        <v>Výroba ostatních svrchních oděvů</v>
      </c>
      <c r="X430">
        <f>IF(ISNUMBER(SEARCH('1Př1'!$A$34,N430)),MAX($M$2:M429)+1,0)</f>
        <v>428</v>
      </c>
      <c r="Y430" s="325" t="s">
        <v>2305</v>
      </c>
      <c r="Z430" t="str">
        <f>IFERROR(VLOOKUP(ROWS($Z$3:Z430),$X$3:$Y$992,2,0),"")</f>
        <v>Výroba ostatních svrchních oděvů</v>
      </c>
    </row>
    <row r="431" spans="13:26">
      <c r="M431" s="324">
        <f>IF(ISNUMBER(SEARCH(ZAKL_DATA!$B$29,N431)),MAX($M$2:M430)+1,0)</f>
        <v>429</v>
      </c>
      <c r="N431" s="325" t="s">
        <v>2307</v>
      </c>
      <c r="O431" s="340" t="s">
        <v>2308</v>
      </c>
      <c r="Q431" s="327" t="str">
        <f>IFERROR(VLOOKUP(ROWS($Q$3:Q431),$M$3:$N$992,2,0),"")</f>
        <v>Výroba osobního prádla</v>
      </c>
      <c r="R431">
        <f>IF(ISNUMBER(SEARCH('1Př1'!$A$32,N431)),MAX($M$2:M430)+1,0)</f>
        <v>429</v>
      </c>
      <c r="S431" s="325" t="s">
        <v>2307</v>
      </c>
      <c r="T431" t="str">
        <f>IFERROR(VLOOKUP(ROWS($T$3:T431),$R$3:$S$992,2,0),"")</f>
        <v>Výroba osobního prádla</v>
      </c>
      <c r="U431">
        <f>IF(ISNUMBER(SEARCH('1Př1'!$A$33,N431)),MAX($M$2:M430)+1,0)</f>
        <v>429</v>
      </c>
      <c r="V431" s="325" t="s">
        <v>2307</v>
      </c>
      <c r="W431" t="str">
        <f>IFERROR(VLOOKUP(ROWS($W$3:W431),$U$3:$V$992,2,0),"")</f>
        <v>Výroba osobního prádla</v>
      </c>
      <c r="X431">
        <f>IF(ISNUMBER(SEARCH('1Př1'!$A$34,N431)),MAX($M$2:M430)+1,0)</f>
        <v>429</v>
      </c>
      <c r="Y431" s="325" t="s">
        <v>2307</v>
      </c>
      <c r="Z431" t="str">
        <f>IFERROR(VLOOKUP(ROWS($Z$3:Z431),$X$3:$Y$992,2,0),"")</f>
        <v>Výroba osobního prádla</v>
      </c>
    </row>
    <row r="432" spans="13:26">
      <c r="M432" s="324">
        <f>IF(ISNUMBER(SEARCH(ZAKL_DATA!$B$29,N432)),MAX($M$2:M431)+1,0)</f>
        <v>430</v>
      </c>
      <c r="N432" s="325" t="s">
        <v>2309</v>
      </c>
      <c r="O432" s="340" t="s">
        <v>2310</v>
      </c>
      <c r="Q432" s="327" t="str">
        <f>IFERROR(VLOOKUP(ROWS($Q$3:Q432),$M$3:$N$992,2,0),"")</f>
        <v>Výroba ostatních oděvů a oděvních doplňků</v>
      </c>
      <c r="R432">
        <f>IF(ISNUMBER(SEARCH('1Př1'!$A$32,N432)),MAX($M$2:M431)+1,0)</f>
        <v>430</v>
      </c>
      <c r="S432" s="325" t="s">
        <v>2309</v>
      </c>
      <c r="T432" t="str">
        <f>IFERROR(VLOOKUP(ROWS($T$3:T432),$R$3:$S$992,2,0),"")</f>
        <v>Výroba ostatních oděvů a oděvních doplňků</v>
      </c>
      <c r="U432">
        <f>IF(ISNUMBER(SEARCH('1Př1'!$A$33,N432)),MAX($M$2:M431)+1,0)</f>
        <v>430</v>
      </c>
      <c r="V432" s="325" t="s">
        <v>2309</v>
      </c>
      <c r="W432" t="str">
        <f>IFERROR(VLOOKUP(ROWS($W$3:W432),$U$3:$V$992,2,0),"")</f>
        <v>Výroba ostatních oděvů a oděvních doplňků</v>
      </c>
      <c r="X432">
        <f>IF(ISNUMBER(SEARCH('1Př1'!$A$34,N432)),MAX($M$2:M431)+1,0)</f>
        <v>430</v>
      </c>
      <c r="Y432" s="325" t="s">
        <v>2309</v>
      </c>
      <c r="Z432" t="str">
        <f>IFERROR(VLOOKUP(ROWS($Z$3:Z432),$X$3:$Y$992,2,0),"")</f>
        <v>Výroba ostatních oděvů a oděvních doplňků</v>
      </c>
    </row>
    <row r="433" spans="13:26">
      <c r="M433" s="324">
        <f>IF(ISNUMBER(SEARCH(ZAKL_DATA!$B$29,N433)),MAX($M$2:M432)+1,0)</f>
        <v>431</v>
      </c>
      <c r="N433" s="325" t="s">
        <v>2311</v>
      </c>
      <c r="O433" s="340" t="s">
        <v>2312</v>
      </c>
      <c r="Q433" s="327" t="str">
        <f>IFERROR(VLOOKUP(ROWS($Q$3:Q433),$M$3:$N$992,2,0),"")</f>
        <v>Výroba pletených a háčkovaných punčochových výrobků</v>
      </c>
      <c r="R433">
        <f>IF(ISNUMBER(SEARCH('1Př1'!$A$32,N433)),MAX($M$2:M432)+1,0)</f>
        <v>431</v>
      </c>
      <c r="S433" s="325" t="s">
        <v>2311</v>
      </c>
      <c r="T433" t="str">
        <f>IFERROR(VLOOKUP(ROWS($T$3:T433),$R$3:$S$992,2,0),"")</f>
        <v>Výroba pletených a háčkovaných punčochových výrobků</v>
      </c>
      <c r="U433">
        <f>IF(ISNUMBER(SEARCH('1Př1'!$A$33,N433)),MAX($M$2:M432)+1,0)</f>
        <v>431</v>
      </c>
      <c r="V433" s="325" t="s">
        <v>2311</v>
      </c>
      <c r="W433" t="str">
        <f>IFERROR(VLOOKUP(ROWS($W$3:W433),$U$3:$V$992,2,0),"")</f>
        <v>Výroba pletených a háčkovaných punčochových výrobků</v>
      </c>
      <c r="X433">
        <f>IF(ISNUMBER(SEARCH('1Př1'!$A$34,N433)),MAX($M$2:M432)+1,0)</f>
        <v>431</v>
      </c>
      <c r="Y433" s="325" t="s">
        <v>2311</v>
      </c>
      <c r="Z433" t="str">
        <f>IFERROR(VLOOKUP(ROWS($Z$3:Z433),$X$3:$Y$992,2,0),"")</f>
        <v>Výroba pletených a háčkovaných punčochových výrobků</v>
      </c>
    </row>
    <row r="434" spans="13:26">
      <c r="M434" s="324">
        <f>IF(ISNUMBER(SEARCH(ZAKL_DATA!$B$29,N434)),MAX($M$2:M433)+1,0)</f>
        <v>432</v>
      </c>
      <c r="N434" s="325" t="s">
        <v>2313</v>
      </c>
      <c r="O434" s="340" t="s">
        <v>2314</v>
      </c>
      <c r="Q434" s="327" t="str">
        <f>IFERROR(VLOOKUP(ROWS($Q$3:Q434),$M$3:$N$992,2,0),"")</f>
        <v>Výroba ostatních pletených a háčkovaných oděvů</v>
      </c>
      <c r="R434">
        <f>IF(ISNUMBER(SEARCH('1Př1'!$A$32,N434)),MAX($M$2:M433)+1,0)</f>
        <v>432</v>
      </c>
      <c r="S434" s="325" t="s">
        <v>2313</v>
      </c>
      <c r="T434" t="str">
        <f>IFERROR(VLOOKUP(ROWS($T$3:T434),$R$3:$S$992,2,0),"")</f>
        <v>Výroba ostatních pletených a háčkovaných oděvů</v>
      </c>
      <c r="U434">
        <f>IF(ISNUMBER(SEARCH('1Př1'!$A$33,N434)),MAX($M$2:M433)+1,0)</f>
        <v>432</v>
      </c>
      <c r="V434" s="325" t="s">
        <v>2313</v>
      </c>
      <c r="W434" t="str">
        <f>IFERROR(VLOOKUP(ROWS($W$3:W434),$U$3:$V$992,2,0),"")</f>
        <v>Výroba ostatních pletených a háčkovaných oděvů</v>
      </c>
      <c r="X434">
        <f>IF(ISNUMBER(SEARCH('1Př1'!$A$34,N434)),MAX($M$2:M433)+1,0)</f>
        <v>432</v>
      </c>
      <c r="Y434" s="325" t="s">
        <v>2313</v>
      </c>
      <c r="Z434" t="str">
        <f>IFERROR(VLOOKUP(ROWS($Z$3:Z434),$X$3:$Y$992,2,0),"")</f>
        <v>Výroba ostatních pletených a háčkovaných oděvů</v>
      </c>
    </row>
    <row r="435" spans="13:26">
      <c r="M435" s="324">
        <f>IF(ISNUMBER(SEARCH(ZAKL_DATA!$B$29,N435)),MAX($M$2:M434)+1,0)</f>
        <v>433</v>
      </c>
      <c r="N435" s="325" t="s">
        <v>2315</v>
      </c>
      <c r="O435" s="340" t="s">
        <v>2316</v>
      </c>
      <c r="Q435" s="327" t="str">
        <f>IFERROR(VLOOKUP(ROWS($Q$3:Q435),$M$3:$N$992,2,0),"")</f>
        <v>Chov drobných hospodářských zvířat</v>
      </c>
      <c r="R435">
        <f>IF(ISNUMBER(SEARCH('1Př1'!$A$32,N435)),MAX($M$2:M434)+1,0)</f>
        <v>433</v>
      </c>
      <c r="S435" s="325" t="s">
        <v>2315</v>
      </c>
      <c r="T435" t="str">
        <f>IFERROR(VLOOKUP(ROWS($T$3:T435),$R$3:$S$992,2,0),"")</f>
        <v>Chov drobných hospodářských zvířat</v>
      </c>
      <c r="U435">
        <f>IF(ISNUMBER(SEARCH('1Př1'!$A$33,N435)),MAX($M$2:M434)+1,0)</f>
        <v>433</v>
      </c>
      <c r="V435" s="325" t="s">
        <v>2315</v>
      </c>
      <c r="W435" t="str">
        <f>IFERROR(VLOOKUP(ROWS($W$3:W435),$U$3:$V$992,2,0),"")</f>
        <v>Chov drobných hospodářských zvířat</v>
      </c>
      <c r="X435">
        <f>IF(ISNUMBER(SEARCH('1Př1'!$A$34,N435)),MAX($M$2:M434)+1,0)</f>
        <v>433</v>
      </c>
      <c r="Y435" s="325" t="s">
        <v>2315</v>
      </c>
      <c r="Z435" t="str">
        <f>IFERROR(VLOOKUP(ROWS($Z$3:Z435),$X$3:$Y$992,2,0),"")</f>
        <v>Chov drobných hospodářských zvířat</v>
      </c>
    </row>
    <row r="436" spans="13:26">
      <c r="M436" s="324">
        <f>IF(ISNUMBER(SEARCH(ZAKL_DATA!$B$29,N436)),MAX($M$2:M435)+1,0)</f>
        <v>434</v>
      </c>
      <c r="N436" s="325" t="s">
        <v>2317</v>
      </c>
      <c r="O436" s="340" t="s">
        <v>2318</v>
      </c>
      <c r="Q436" s="327" t="str">
        <f>IFERROR(VLOOKUP(ROWS($Q$3:Q436),$M$3:$N$992,2,0),"")</f>
        <v>Chov kožešinových zvířat</v>
      </c>
      <c r="R436">
        <f>IF(ISNUMBER(SEARCH('1Př1'!$A$32,N436)),MAX($M$2:M435)+1,0)</f>
        <v>434</v>
      </c>
      <c r="S436" s="325" t="s">
        <v>2317</v>
      </c>
      <c r="T436" t="str">
        <f>IFERROR(VLOOKUP(ROWS($T$3:T436),$R$3:$S$992,2,0),"")</f>
        <v>Chov kožešinových zvířat</v>
      </c>
      <c r="U436">
        <f>IF(ISNUMBER(SEARCH('1Př1'!$A$33,N436)),MAX($M$2:M435)+1,0)</f>
        <v>434</v>
      </c>
      <c r="V436" s="325" t="s">
        <v>2317</v>
      </c>
      <c r="W436" t="str">
        <f>IFERROR(VLOOKUP(ROWS($W$3:W436),$U$3:$V$992,2,0),"")</f>
        <v>Chov kožešinových zvířat</v>
      </c>
      <c r="X436">
        <f>IF(ISNUMBER(SEARCH('1Př1'!$A$34,N436)),MAX($M$2:M435)+1,0)</f>
        <v>434</v>
      </c>
      <c r="Y436" s="325" t="s">
        <v>2317</v>
      </c>
      <c r="Z436" t="str">
        <f>IFERROR(VLOOKUP(ROWS($Z$3:Z436),$X$3:$Y$992,2,0),"")</f>
        <v>Chov kožešinových zvířat</v>
      </c>
    </row>
    <row r="437" spans="13:26">
      <c r="M437" s="324">
        <f>IF(ISNUMBER(SEARCH(ZAKL_DATA!$B$29,N437)),MAX($M$2:M436)+1,0)</f>
        <v>435</v>
      </c>
      <c r="N437" s="325" t="s">
        <v>2319</v>
      </c>
      <c r="O437" s="340" t="s">
        <v>2320</v>
      </c>
      <c r="Q437" s="327" t="str">
        <f>IFERROR(VLOOKUP(ROWS($Q$3:Q437),$M$3:$N$992,2,0),"")</f>
        <v>Chov zvířat pro zájmový chov</v>
      </c>
      <c r="R437">
        <f>IF(ISNUMBER(SEARCH('1Př1'!$A$32,N437)),MAX($M$2:M436)+1,0)</f>
        <v>435</v>
      </c>
      <c r="S437" s="325" t="s">
        <v>2319</v>
      </c>
      <c r="T437" t="str">
        <f>IFERROR(VLOOKUP(ROWS($T$3:T437),$R$3:$S$992,2,0),"")</f>
        <v>Chov zvířat pro zájmový chov</v>
      </c>
      <c r="U437">
        <f>IF(ISNUMBER(SEARCH('1Př1'!$A$33,N437)),MAX($M$2:M436)+1,0)</f>
        <v>435</v>
      </c>
      <c r="V437" s="325" t="s">
        <v>2319</v>
      </c>
      <c r="W437" t="str">
        <f>IFERROR(VLOOKUP(ROWS($W$3:W437),$U$3:$V$992,2,0),"")</f>
        <v>Chov zvířat pro zájmový chov</v>
      </c>
      <c r="X437">
        <f>IF(ISNUMBER(SEARCH('1Př1'!$A$34,N437)),MAX($M$2:M436)+1,0)</f>
        <v>435</v>
      </c>
      <c r="Y437" s="325" t="s">
        <v>2319</v>
      </c>
      <c r="Z437" t="str">
        <f>IFERROR(VLOOKUP(ROWS($Z$3:Z437),$X$3:$Y$992,2,0),"")</f>
        <v>Chov zvířat pro zájmový chov</v>
      </c>
    </row>
    <row r="438" spans="13:26">
      <c r="M438" s="324">
        <f>IF(ISNUMBER(SEARCH(ZAKL_DATA!$B$29,N438)),MAX($M$2:M437)+1,0)</f>
        <v>436</v>
      </c>
      <c r="N438" s="325" t="s">
        <v>2321</v>
      </c>
      <c r="O438" s="340" t="s">
        <v>2322</v>
      </c>
      <c r="Q438" s="327" t="str">
        <f>IFERROR(VLOOKUP(ROWS($Q$3:Q438),$M$3:$N$992,2,0),"")</f>
        <v>Chov ostatních zvířat j. n.</v>
      </c>
      <c r="R438">
        <f>IF(ISNUMBER(SEARCH('1Př1'!$A$32,N438)),MAX($M$2:M437)+1,0)</f>
        <v>436</v>
      </c>
      <c r="S438" s="325" t="s">
        <v>2321</v>
      </c>
      <c r="T438" t="str">
        <f>IFERROR(VLOOKUP(ROWS($T$3:T438),$R$3:$S$992,2,0),"")</f>
        <v>Chov ostatních zvířat j. n.</v>
      </c>
      <c r="U438">
        <f>IF(ISNUMBER(SEARCH('1Př1'!$A$33,N438)),MAX($M$2:M437)+1,0)</f>
        <v>436</v>
      </c>
      <c r="V438" s="325" t="s">
        <v>2321</v>
      </c>
      <c r="W438" t="str">
        <f>IFERROR(VLOOKUP(ROWS($W$3:W438),$U$3:$V$992,2,0),"")</f>
        <v>Chov ostatních zvířat j. n.</v>
      </c>
      <c r="X438">
        <f>IF(ISNUMBER(SEARCH('1Př1'!$A$34,N438)),MAX($M$2:M437)+1,0)</f>
        <v>436</v>
      </c>
      <c r="Y438" s="325" t="s">
        <v>2321</v>
      </c>
      <c r="Z438" t="str">
        <f>IFERROR(VLOOKUP(ROWS($Z$3:Z438),$X$3:$Y$992,2,0),"")</f>
        <v>Chov ostatních zvířat j. n.</v>
      </c>
    </row>
    <row r="439" spans="13:26">
      <c r="M439" s="324">
        <f>IF(ISNUMBER(SEARCH(ZAKL_DATA!$B$29,N439)),MAX($M$2:M438)+1,0)</f>
        <v>437</v>
      </c>
      <c r="N439" s="325" t="s">
        <v>2323</v>
      </c>
      <c r="O439" s="340" t="s">
        <v>2324</v>
      </c>
      <c r="Q439" s="327" t="str">
        <f>IFERROR(VLOOKUP(ROWS($Q$3:Q439),$M$3:$N$992,2,0),"")</f>
        <v>Činění a úprava usní (vyčiněných kůží); zpracování a barvení kožešin</v>
      </c>
      <c r="R439">
        <f>IF(ISNUMBER(SEARCH('1Př1'!$A$32,N439)),MAX($M$2:M438)+1,0)</f>
        <v>437</v>
      </c>
      <c r="S439" s="325" t="s">
        <v>2323</v>
      </c>
      <c r="T439" t="str">
        <f>IFERROR(VLOOKUP(ROWS($T$3:T439),$R$3:$S$992,2,0),"")</f>
        <v>Činění a úprava usní (vyčiněných kůží); zpracování a barvení kožešin</v>
      </c>
      <c r="U439">
        <f>IF(ISNUMBER(SEARCH('1Př1'!$A$33,N439)),MAX($M$2:M438)+1,0)</f>
        <v>437</v>
      </c>
      <c r="V439" s="325" t="s">
        <v>2323</v>
      </c>
      <c r="W439" t="str">
        <f>IFERROR(VLOOKUP(ROWS($W$3:W439),$U$3:$V$992,2,0),"")</f>
        <v>Činění a úprava usní (vyčiněných kůží); zpracování a barvení kožešin</v>
      </c>
      <c r="X439">
        <f>IF(ISNUMBER(SEARCH('1Př1'!$A$34,N439)),MAX($M$2:M438)+1,0)</f>
        <v>437</v>
      </c>
      <c r="Y439" s="325" t="s">
        <v>2323</v>
      </c>
      <c r="Z439" t="str">
        <f>IFERROR(VLOOKUP(ROWS($Z$3:Z439),$X$3:$Y$992,2,0),"")</f>
        <v>Činění a úprava usní (vyčiněných kůží); zpracování a barvení kožešin</v>
      </c>
    </row>
    <row r="440" spans="13:26">
      <c r="M440" s="324">
        <f>IF(ISNUMBER(SEARCH(ZAKL_DATA!$B$29,N440)),MAX($M$2:M439)+1,0)</f>
        <v>438</v>
      </c>
      <c r="N440" s="325" t="s">
        <v>2325</v>
      </c>
      <c r="O440" s="340" t="s">
        <v>2326</v>
      </c>
      <c r="Q440" s="327" t="str">
        <f>IFERROR(VLOOKUP(ROWS($Q$3:Q440),$M$3:$N$992,2,0),"")</f>
        <v>Výroba brašnářských, sedlářských a podobných výrobků</v>
      </c>
      <c r="R440">
        <f>IF(ISNUMBER(SEARCH('1Př1'!$A$32,N440)),MAX($M$2:M439)+1,0)</f>
        <v>438</v>
      </c>
      <c r="S440" s="325" t="s">
        <v>2325</v>
      </c>
      <c r="T440" t="str">
        <f>IFERROR(VLOOKUP(ROWS($T$3:T440),$R$3:$S$992,2,0),"")</f>
        <v>Výroba brašnářských, sedlářských a podobných výrobků</v>
      </c>
      <c r="U440">
        <f>IF(ISNUMBER(SEARCH('1Př1'!$A$33,N440)),MAX($M$2:M439)+1,0)</f>
        <v>438</v>
      </c>
      <c r="V440" s="325" t="s">
        <v>2325</v>
      </c>
      <c r="W440" t="str">
        <f>IFERROR(VLOOKUP(ROWS($W$3:W440),$U$3:$V$992,2,0),"")</f>
        <v>Výroba brašnářských, sedlářských a podobných výrobků</v>
      </c>
      <c r="X440">
        <f>IF(ISNUMBER(SEARCH('1Př1'!$A$34,N440)),MAX($M$2:M439)+1,0)</f>
        <v>438</v>
      </c>
      <c r="Y440" s="325" t="s">
        <v>2325</v>
      </c>
      <c r="Z440" t="str">
        <f>IFERROR(VLOOKUP(ROWS($Z$3:Z440),$X$3:$Y$992,2,0),"")</f>
        <v>Výroba brašnářských, sedlářských a podobných výrobků</v>
      </c>
    </row>
    <row r="441" spans="13:26">
      <c r="M441" s="324">
        <f>IF(ISNUMBER(SEARCH(ZAKL_DATA!$B$29,N441)),MAX($M$2:M440)+1,0)</f>
        <v>439</v>
      </c>
      <c r="N441" s="325" t="s">
        <v>2327</v>
      </c>
      <c r="O441" s="340" t="s">
        <v>2328</v>
      </c>
      <c r="Q441" s="327" t="str">
        <f>IFERROR(VLOOKUP(ROWS($Q$3:Q441),$M$3:$N$992,2,0),"")</f>
        <v>Výroba dýh a desek na bázi dřeva</v>
      </c>
      <c r="R441">
        <f>IF(ISNUMBER(SEARCH('1Př1'!$A$32,N441)),MAX($M$2:M440)+1,0)</f>
        <v>439</v>
      </c>
      <c r="S441" s="325" t="s">
        <v>2327</v>
      </c>
      <c r="T441" t="str">
        <f>IFERROR(VLOOKUP(ROWS($T$3:T441),$R$3:$S$992,2,0),"")</f>
        <v>Výroba dýh a desek na bázi dřeva</v>
      </c>
      <c r="U441">
        <f>IF(ISNUMBER(SEARCH('1Př1'!$A$33,N441)),MAX($M$2:M440)+1,0)</f>
        <v>439</v>
      </c>
      <c r="V441" s="325" t="s">
        <v>2327</v>
      </c>
      <c r="W441" t="str">
        <f>IFERROR(VLOOKUP(ROWS($W$3:W441),$U$3:$V$992,2,0),"")</f>
        <v>Výroba dýh a desek na bázi dřeva</v>
      </c>
      <c r="X441">
        <f>IF(ISNUMBER(SEARCH('1Př1'!$A$34,N441)),MAX($M$2:M440)+1,0)</f>
        <v>439</v>
      </c>
      <c r="Y441" s="325" t="s">
        <v>2327</v>
      </c>
      <c r="Z441" t="str">
        <f>IFERROR(VLOOKUP(ROWS($Z$3:Z441),$X$3:$Y$992,2,0),"")</f>
        <v>Výroba dýh a desek na bázi dřeva</v>
      </c>
    </row>
    <row r="442" spans="13:26">
      <c r="M442" s="324">
        <f>IF(ISNUMBER(SEARCH(ZAKL_DATA!$B$29,N442)),MAX($M$2:M441)+1,0)</f>
        <v>440</v>
      </c>
      <c r="N442" s="325" t="s">
        <v>2329</v>
      </c>
      <c r="O442" s="340" t="s">
        <v>2330</v>
      </c>
      <c r="Q442" s="327" t="str">
        <f>IFERROR(VLOOKUP(ROWS($Q$3:Q442),$M$3:$N$992,2,0),"")</f>
        <v>Výroba sestavených parketových podlah</v>
      </c>
      <c r="R442">
        <f>IF(ISNUMBER(SEARCH('1Př1'!$A$32,N442)),MAX($M$2:M441)+1,0)</f>
        <v>440</v>
      </c>
      <c r="S442" s="325" t="s">
        <v>2329</v>
      </c>
      <c r="T442" t="str">
        <f>IFERROR(VLOOKUP(ROWS($T$3:T442),$R$3:$S$992,2,0),"")</f>
        <v>Výroba sestavených parketových podlah</v>
      </c>
      <c r="U442">
        <f>IF(ISNUMBER(SEARCH('1Př1'!$A$33,N442)),MAX($M$2:M441)+1,0)</f>
        <v>440</v>
      </c>
      <c r="V442" s="325" t="s">
        <v>2329</v>
      </c>
      <c r="W442" t="str">
        <f>IFERROR(VLOOKUP(ROWS($W$3:W442),$U$3:$V$992,2,0),"")</f>
        <v>Výroba sestavených parketových podlah</v>
      </c>
      <c r="X442">
        <f>IF(ISNUMBER(SEARCH('1Př1'!$A$34,N442)),MAX($M$2:M441)+1,0)</f>
        <v>440</v>
      </c>
      <c r="Y442" s="325" t="s">
        <v>2329</v>
      </c>
      <c r="Z442" t="str">
        <f>IFERROR(VLOOKUP(ROWS($Z$3:Z442),$X$3:$Y$992,2,0),"")</f>
        <v>Výroba sestavených parketových podlah</v>
      </c>
    </row>
    <row r="443" spans="13:26">
      <c r="M443" s="324">
        <f>IF(ISNUMBER(SEARCH(ZAKL_DATA!$B$29,N443)),MAX($M$2:M442)+1,0)</f>
        <v>441</v>
      </c>
      <c r="N443" s="325" t="s">
        <v>2331</v>
      </c>
      <c r="O443" s="340" t="s">
        <v>2332</v>
      </c>
      <c r="Q443" s="327" t="str">
        <f>IFERROR(VLOOKUP(ROWS($Q$3:Q443),$M$3:$N$992,2,0),"")</f>
        <v>Výroba ostatních výrobků stavebního truhlářství a tesařství</v>
      </c>
      <c r="R443">
        <f>IF(ISNUMBER(SEARCH('1Př1'!$A$32,N443)),MAX($M$2:M442)+1,0)</f>
        <v>441</v>
      </c>
      <c r="S443" s="325" t="s">
        <v>2331</v>
      </c>
      <c r="T443" t="str">
        <f>IFERROR(VLOOKUP(ROWS($T$3:T443),$R$3:$S$992,2,0),"")</f>
        <v>Výroba ostatních výrobků stavebního truhlářství a tesařství</v>
      </c>
      <c r="U443">
        <f>IF(ISNUMBER(SEARCH('1Př1'!$A$33,N443)),MAX($M$2:M442)+1,0)</f>
        <v>441</v>
      </c>
      <c r="V443" s="325" t="s">
        <v>2331</v>
      </c>
      <c r="W443" t="str">
        <f>IFERROR(VLOOKUP(ROWS($W$3:W443),$U$3:$V$992,2,0),"")</f>
        <v>Výroba ostatních výrobků stavebního truhlářství a tesařství</v>
      </c>
      <c r="X443">
        <f>IF(ISNUMBER(SEARCH('1Př1'!$A$34,N443)),MAX($M$2:M442)+1,0)</f>
        <v>441</v>
      </c>
      <c r="Y443" s="325" t="s">
        <v>2331</v>
      </c>
      <c r="Z443" t="str">
        <f>IFERROR(VLOOKUP(ROWS($Z$3:Z443),$X$3:$Y$992,2,0),"")</f>
        <v>Výroba ostatních výrobků stavebního truhlářství a tesařství</v>
      </c>
    </row>
    <row r="444" spans="13:26">
      <c r="M444" s="324">
        <f>IF(ISNUMBER(SEARCH(ZAKL_DATA!$B$29,N444)),MAX($M$2:M443)+1,0)</f>
        <v>442</v>
      </c>
      <c r="N444" s="325" t="s">
        <v>2333</v>
      </c>
      <c r="O444" s="340" t="s">
        <v>2334</v>
      </c>
      <c r="Q444" s="327" t="str">
        <f>IFERROR(VLOOKUP(ROWS($Q$3:Q444),$M$3:$N$992,2,0),"")</f>
        <v>Výroba dřevěných obalů</v>
      </c>
      <c r="R444">
        <f>IF(ISNUMBER(SEARCH('1Př1'!$A$32,N444)),MAX($M$2:M443)+1,0)</f>
        <v>442</v>
      </c>
      <c r="S444" s="325" t="s">
        <v>2333</v>
      </c>
      <c r="T444" t="str">
        <f>IFERROR(VLOOKUP(ROWS($T$3:T444),$R$3:$S$992,2,0),"")</f>
        <v>Výroba dřevěných obalů</v>
      </c>
      <c r="U444">
        <f>IF(ISNUMBER(SEARCH('1Př1'!$A$33,N444)),MAX($M$2:M443)+1,0)</f>
        <v>442</v>
      </c>
      <c r="V444" s="325" t="s">
        <v>2333</v>
      </c>
      <c r="W444" t="str">
        <f>IFERROR(VLOOKUP(ROWS($W$3:W444),$U$3:$V$992,2,0),"")</f>
        <v>Výroba dřevěných obalů</v>
      </c>
      <c r="X444">
        <f>IF(ISNUMBER(SEARCH('1Př1'!$A$34,N444)),MAX($M$2:M443)+1,0)</f>
        <v>442</v>
      </c>
      <c r="Y444" s="325" t="s">
        <v>2333</v>
      </c>
      <c r="Z444" t="str">
        <f>IFERROR(VLOOKUP(ROWS($Z$3:Z444),$X$3:$Y$992,2,0),"")</f>
        <v>Výroba dřevěných obalů</v>
      </c>
    </row>
    <row r="445" spans="13:26">
      <c r="M445" s="324">
        <f>IF(ISNUMBER(SEARCH(ZAKL_DATA!$B$29,N445)),MAX($M$2:M444)+1,0)</f>
        <v>443</v>
      </c>
      <c r="N445" s="325" t="s">
        <v>2335</v>
      </c>
      <c r="O445" s="340" t="s">
        <v>2336</v>
      </c>
      <c r="Q445" s="327" t="str">
        <f>IFERROR(VLOOKUP(ROWS($Q$3:Q445),$M$3:$N$992,2,0),"")</f>
        <v>Výroba ost.dřevěných,korkových,proutěných a slaměných výr.,kromě nábytku</v>
      </c>
      <c r="R445">
        <f>IF(ISNUMBER(SEARCH('1Př1'!$A$32,N445)),MAX($M$2:M444)+1,0)</f>
        <v>443</v>
      </c>
      <c r="S445" s="325" t="s">
        <v>2335</v>
      </c>
      <c r="T445" t="str">
        <f>IFERROR(VLOOKUP(ROWS($T$3:T445),$R$3:$S$992,2,0),"")</f>
        <v>Výroba ost.dřevěných,korkových,proutěných a slaměných výr.,kromě nábytku</v>
      </c>
      <c r="U445">
        <f>IF(ISNUMBER(SEARCH('1Př1'!$A$33,N445)),MAX($M$2:M444)+1,0)</f>
        <v>443</v>
      </c>
      <c r="V445" s="325" t="s">
        <v>2335</v>
      </c>
      <c r="W445" t="str">
        <f>IFERROR(VLOOKUP(ROWS($W$3:W445),$U$3:$V$992,2,0),"")</f>
        <v>Výroba ost.dřevěných,korkových,proutěných a slaměných výr.,kromě nábytku</v>
      </c>
      <c r="X445">
        <f>IF(ISNUMBER(SEARCH('1Př1'!$A$34,N445)),MAX($M$2:M444)+1,0)</f>
        <v>443</v>
      </c>
      <c r="Y445" s="325" t="s">
        <v>2335</v>
      </c>
      <c r="Z445" t="str">
        <f>IFERROR(VLOOKUP(ROWS($Z$3:Z445),$X$3:$Y$992,2,0),"")</f>
        <v>Výroba ost.dřevěných,korkových,proutěných a slaměných výr.,kromě nábytku</v>
      </c>
    </row>
    <row r="446" spans="13:26">
      <c r="M446" s="324">
        <f>IF(ISNUMBER(SEARCH(ZAKL_DATA!$B$29,N446)),MAX($M$2:M445)+1,0)</f>
        <v>444</v>
      </c>
      <c r="N446" s="325" t="s">
        <v>2337</v>
      </c>
      <c r="O446" s="340" t="s">
        <v>2338</v>
      </c>
      <c r="Q446" s="327" t="str">
        <f>IFERROR(VLOOKUP(ROWS($Q$3:Q446),$M$3:$N$992,2,0),"")</f>
        <v>Výroba buničiny</v>
      </c>
      <c r="R446">
        <f>IF(ISNUMBER(SEARCH('1Př1'!$A$32,N446)),MAX($M$2:M445)+1,0)</f>
        <v>444</v>
      </c>
      <c r="S446" s="325" t="s">
        <v>2337</v>
      </c>
      <c r="T446" t="str">
        <f>IFERROR(VLOOKUP(ROWS($T$3:T446),$R$3:$S$992,2,0),"")</f>
        <v>Výroba buničiny</v>
      </c>
      <c r="U446">
        <f>IF(ISNUMBER(SEARCH('1Př1'!$A$33,N446)),MAX($M$2:M445)+1,0)</f>
        <v>444</v>
      </c>
      <c r="V446" s="325" t="s">
        <v>2337</v>
      </c>
      <c r="W446" t="str">
        <f>IFERROR(VLOOKUP(ROWS($W$3:W446),$U$3:$V$992,2,0),"")</f>
        <v>Výroba buničiny</v>
      </c>
      <c r="X446">
        <f>IF(ISNUMBER(SEARCH('1Př1'!$A$34,N446)),MAX($M$2:M445)+1,0)</f>
        <v>444</v>
      </c>
      <c r="Y446" s="325" t="s">
        <v>2337</v>
      </c>
      <c r="Z446" t="str">
        <f>IFERROR(VLOOKUP(ROWS($Z$3:Z446),$X$3:$Y$992,2,0),"")</f>
        <v>Výroba buničiny</v>
      </c>
    </row>
    <row r="447" spans="13:26">
      <c r="M447" s="324">
        <f>IF(ISNUMBER(SEARCH(ZAKL_DATA!$B$29,N447)),MAX($M$2:M446)+1,0)</f>
        <v>445</v>
      </c>
      <c r="N447" s="325" t="s">
        <v>2339</v>
      </c>
      <c r="O447" s="340" t="s">
        <v>2340</v>
      </c>
      <c r="Q447" s="327" t="str">
        <f>IFERROR(VLOOKUP(ROWS($Q$3:Q447),$M$3:$N$992,2,0),"")</f>
        <v>Výroba papíru a lepenky</v>
      </c>
      <c r="R447">
        <f>IF(ISNUMBER(SEARCH('1Př1'!$A$32,N447)),MAX($M$2:M446)+1,0)</f>
        <v>445</v>
      </c>
      <c r="S447" s="325" t="s">
        <v>2339</v>
      </c>
      <c r="T447" t="str">
        <f>IFERROR(VLOOKUP(ROWS($T$3:T447),$R$3:$S$992,2,0),"")</f>
        <v>Výroba papíru a lepenky</v>
      </c>
      <c r="U447">
        <f>IF(ISNUMBER(SEARCH('1Př1'!$A$33,N447)),MAX($M$2:M446)+1,0)</f>
        <v>445</v>
      </c>
      <c r="V447" s="325" t="s">
        <v>2339</v>
      </c>
      <c r="W447" t="str">
        <f>IFERROR(VLOOKUP(ROWS($W$3:W447),$U$3:$V$992,2,0),"")</f>
        <v>Výroba papíru a lepenky</v>
      </c>
      <c r="X447">
        <f>IF(ISNUMBER(SEARCH('1Př1'!$A$34,N447)),MAX($M$2:M446)+1,0)</f>
        <v>445</v>
      </c>
      <c r="Y447" s="325" t="s">
        <v>2339</v>
      </c>
      <c r="Z447" t="str">
        <f>IFERROR(VLOOKUP(ROWS($Z$3:Z447),$X$3:$Y$992,2,0),"")</f>
        <v>Výroba papíru a lepenky</v>
      </c>
    </row>
    <row r="448" spans="13:26">
      <c r="M448" s="324">
        <f>IF(ISNUMBER(SEARCH(ZAKL_DATA!$B$29,N448)),MAX($M$2:M447)+1,0)</f>
        <v>446</v>
      </c>
      <c r="N448" s="325" t="s">
        <v>2341</v>
      </c>
      <c r="O448" s="340" t="s">
        <v>2342</v>
      </c>
      <c r="Q448" s="327" t="str">
        <f>IFERROR(VLOOKUP(ROWS($Q$3:Q448),$M$3:$N$992,2,0),"")</f>
        <v>Výroba vlnitého papíru a lepenky, papírových a lepenkových obalů</v>
      </c>
      <c r="R448">
        <f>IF(ISNUMBER(SEARCH('1Př1'!$A$32,N448)),MAX($M$2:M447)+1,0)</f>
        <v>446</v>
      </c>
      <c r="S448" s="325" t="s">
        <v>2341</v>
      </c>
      <c r="T448" t="str">
        <f>IFERROR(VLOOKUP(ROWS($T$3:T448),$R$3:$S$992,2,0),"")</f>
        <v>Výroba vlnitého papíru a lepenky, papírových a lepenkových obalů</v>
      </c>
      <c r="U448">
        <f>IF(ISNUMBER(SEARCH('1Př1'!$A$33,N448)),MAX($M$2:M447)+1,0)</f>
        <v>446</v>
      </c>
      <c r="V448" s="325" t="s">
        <v>2341</v>
      </c>
      <c r="W448" t="str">
        <f>IFERROR(VLOOKUP(ROWS($W$3:W448),$U$3:$V$992,2,0),"")</f>
        <v>Výroba vlnitého papíru a lepenky, papírových a lepenkových obalů</v>
      </c>
      <c r="X448">
        <f>IF(ISNUMBER(SEARCH('1Př1'!$A$34,N448)),MAX($M$2:M447)+1,0)</f>
        <v>446</v>
      </c>
      <c r="Y448" s="325" t="s">
        <v>2341</v>
      </c>
      <c r="Z448" t="str">
        <f>IFERROR(VLOOKUP(ROWS($Z$3:Z448),$X$3:$Y$992,2,0),"")</f>
        <v>Výroba vlnitého papíru a lepenky, papírových a lepenkových obalů</v>
      </c>
    </row>
    <row r="449" spans="13:26">
      <c r="M449" s="324">
        <f>IF(ISNUMBER(SEARCH(ZAKL_DATA!$B$29,N449)),MAX($M$2:M448)+1,0)</f>
        <v>447</v>
      </c>
      <c r="N449" s="325" t="s">
        <v>2343</v>
      </c>
      <c r="O449" s="340" t="s">
        <v>2344</v>
      </c>
      <c r="Q449" s="327" t="str">
        <f>IFERROR(VLOOKUP(ROWS($Q$3:Q449),$M$3:$N$992,2,0),"")</f>
        <v>Výroba domácích potřeb, hygienických a toaletních výrobků z papíru</v>
      </c>
      <c r="R449">
        <f>IF(ISNUMBER(SEARCH('1Př1'!$A$32,N449)),MAX($M$2:M448)+1,0)</f>
        <v>447</v>
      </c>
      <c r="S449" s="325" t="s">
        <v>2343</v>
      </c>
      <c r="T449" t="str">
        <f>IFERROR(VLOOKUP(ROWS($T$3:T449),$R$3:$S$992,2,0),"")</f>
        <v>Výroba domácích potřeb, hygienických a toaletních výrobků z papíru</v>
      </c>
      <c r="U449">
        <f>IF(ISNUMBER(SEARCH('1Př1'!$A$33,N449)),MAX($M$2:M448)+1,0)</f>
        <v>447</v>
      </c>
      <c r="V449" s="325" t="s">
        <v>2343</v>
      </c>
      <c r="W449" t="str">
        <f>IFERROR(VLOOKUP(ROWS($W$3:W449),$U$3:$V$992,2,0),"")</f>
        <v>Výroba domácích potřeb, hygienických a toaletních výrobků z papíru</v>
      </c>
      <c r="X449">
        <f>IF(ISNUMBER(SEARCH('1Př1'!$A$34,N449)),MAX($M$2:M448)+1,0)</f>
        <v>447</v>
      </c>
      <c r="Y449" s="325" t="s">
        <v>2343</v>
      </c>
      <c r="Z449" t="str">
        <f>IFERROR(VLOOKUP(ROWS($Z$3:Z449),$X$3:$Y$992,2,0),"")</f>
        <v>Výroba domácích potřeb, hygienických a toaletních výrobků z papíru</v>
      </c>
    </row>
    <row r="450" spans="13:26">
      <c r="M450" s="324">
        <f>IF(ISNUMBER(SEARCH(ZAKL_DATA!$B$29,N450)),MAX($M$2:M449)+1,0)</f>
        <v>448</v>
      </c>
      <c r="N450" s="325" t="s">
        <v>2345</v>
      </c>
      <c r="O450" s="340" t="s">
        <v>2346</v>
      </c>
      <c r="Q450" s="327" t="str">
        <f>IFERROR(VLOOKUP(ROWS($Q$3:Q450),$M$3:$N$992,2,0),"")</f>
        <v>Výroba kancelářských potřeb z papíru</v>
      </c>
      <c r="R450">
        <f>IF(ISNUMBER(SEARCH('1Př1'!$A$32,N450)),MAX($M$2:M449)+1,0)</f>
        <v>448</v>
      </c>
      <c r="S450" s="325" t="s">
        <v>2345</v>
      </c>
      <c r="T450" t="str">
        <f>IFERROR(VLOOKUP(ROWS($T$3:T450),$R$3:$S$992,2,0),"")</f>
        <v>Výroba kancelářských potřeb z papíru</v>
      </c>
      <c r="U450">
        <f>IF(ISNUMBER(SEARCH('1Př1'!$A$33,N450)),MAX($M$2:M449)+1,0)</f>
        <v>448</v>
      </c>
      <c r="V450" s="325" t="s">
        <v>2345</v>
      </c>
      <c r="W450" t="str">
        <f>IFERROR(VLOOKUP(ROWS($W$3:W450),$U$3:$V$992,2,0),"")</f>
        <v>Výroba kancelářských potřeb z papíru</v>
      </c>
      <c r="X450">
        <f>IF(ISNUMBER(SEARCH('1Př1'!$A$34,N450)),MAX($M$2:M449)+1,0)</f>
        <v>448</v>
      </c>
      <c r="Y450" s="325" t="s">
        <v>2345</v>
      </c>
      <c r="Z450" t="str">
        <f>IFERROR(VLOOKUP(ROWS($Z$3:Z450),$X$3:$Y$992,2,0),"")</f>
        <v>Výroba kancelářských potřeb z papíru</v>
      </c>
    </row>
    <row r="451" spans="13:26">
      <c r="M451" s="324">
        <f>IF(ISNUMBER(SEARCH(ZAKL_DATA!$B$29,N451)),MAX($M$2:M450)+1,0)</f>
        <v>449</v>
      </c>
      <c r="N451" s="325" t="s">
        <v>2347</v>
      </c>
      <c r="O451" s="340" t="s">
        <v>2348</v>
      </c>
      <c r="Q451" s="327" t="str">
        <f>IFERROR(VLOOKUP(ROWS($Q$3:Q451),$M$3:$N$992,2,0),"")</f>
        <v>Výroba tapet</v>
      </c>
      <c r="R451">
        <f>IF(ISNUMBER(SEARCH('1Př1'!$A$32,N451)),MAX($M$2:M450)+1,0)</f>
        <v>449</v>
      </c>
      <c r="S451" s="325" t="s">
        <v>2347</v>
      </c>
      <c r="T451" t="str">
        <f>IFERROR(VLOOKUP(ROWS($T$3:T451),$R$3:$S$992,2,0),"")</f>
        <v>Výroba tapet</v>
      </c>
      <c r="U451">
        <f>IF(ISNUMBER(SEARCH('1Př1'!$A$33,N451)),MAX($M$2:M450)+1,0)</f>
        <v>449</v>
      </c>
      <c r="V451" s="325" t="s">
        <v>2347</v>
      </c>
      <c r="W451" t="str">
        <f>IFERROR(VLOOKUP(ROWS($W$3:W451),$U$3:$V$992,2,0),"")</f>
        <v>Výroba tapet</v>
      </c>
      <c r="X451">
        <f>IF(ISNUMBER(SEARCH('1Př1'!$A$34,N451)),MAX($M$2:M450)+1,0)</f>
        <v>449</v>
      </c>
      <c r="Y451" s="325" t="s">
        <v>2347</v>
      </c>
      <c r="Z451" t="str">
        <f>IFERROR(VLOOKUP(ROWS($Z$3:Z451),$X$3:$Y$992,2,0),"")</f>
        <v>Výroba tapet</v>
      </c>
    </row>
    <row r="452" spans="13:26">
      <c r="M452" s="324">
        <f>IF(ISNUMBER(SEARCH(ZAKL_DATA!$B$29,N452)),MAX($M$2:M451)+1,0)</f>
        <v>450</v>
      </c>
      <c r="N452" s="325" t="s">
        <v>2349</v>
      </c>
      <c r="O452" s="340" t="s">
        <v>2350</v>
      </c>
      <c r="Q452" s="327" t="str">
        <f>IFERROR(VLOOKUP(ROWS($Q$3:Q452),$M$3:$N$992,2,0),"")</f>
        <v>Výroba ostatních výrobků z papíru a lepenky</v>
      </c>
      <c r="R452">
        <f>IF(ISNUMBER(SEARCH('1Př1'!$A$32,N452)),MAX($M$2:M451)+1,0)</f>
        <v>450</v>
      </c>
      <c r="S452" s="325" t="s">
        <v>2349</v>
      </c>
      <c r="T452" t="str">
        <f>IFERROR(VLOOKUP(ROWS($T$3:T452),$R$3:$S$992,2,0),"")</f>
        <v>Výroba ostatních výrobků z papíru a lepenky</v>
      </c>
      <c r="U452">
        <f>IF(ISNUMBER(SEARCH('1Př1'!$A$33,N452)),MAX($M$2:M451)+1,0)</f>
        <v>450</v>
      </c>
      <c r="V452" s="325" t="s">
        <v>2349</v>
      </c>
      <c r="W452" t="str">
        <f>IFERROR(VLOOKUP(ROWS($W$3:W452),$U$3:$V$992,2,0),"")</f>
        <v>Výroba ostatních výrobků z papíru a lepenky</v>
      </c>
      <c r="X452">
        <f>IF(ISNUMBER(SEARCH('1Př1'!$A$34,N452)),MAX($M$2:M451)+1,0)</f>
        <v>450</v>
      </c>
      <c r="Y452" s="325" t="s">
        <v>2349</v>
      </c>
      <c r="Z452" t="str">
        <f>IFERROR(VLOOKUP(ROWS($Z$3:Z452),$X$3:$Y$992,2,0),"")</f>
        <v>Výroba ostatních výrobků z papíru a lepenky</v>
      </c>
    </row>
    <row r="453" spans="13:26">
      <c r="M453" s="324">
        <f>IF(ISNUMBER(SEARCH(ZAKL_DATA!$B$29,N453)),MAX($M$2:M452)+1,0)</f>
        <v>451</v>
      </c>
      <c r="N453" s="325" t="s">
        <v>2351</v>
      </c>
      <c r="O453" s="340" t="s">
        <v>2352</v>
      </c>
      <c r="Q453" s="327" t="str">
        <f>IFERROR(VLOOKUP(ROWS($Q$3:Q453),$M$3:$N$992,2,0),"")</f>
        <v>Tisk novin</v>
      </c>
      <c r="R453">
        <f>IF(ISNUMBER(SEARCH('1Př1'!$A$32,N453)),MAX($M$2:M452)+1,0)</f>
        <v>451</v>
      </c>
      <c r="S453" s="325" t="s">
        <v>2351</v>
      </c>
      <c r="T453" t="str">
        <f>IFERROR(VLOOKUP(ROWS($T$3:T453),$R$3:$S$992,2,0),"")</f>
        <v>Tisk novin</v>
      </c>
      <c r="U453">
        <f>IF(ISNUMBER(SEARCH('1Př1'!$A$33,N453)),MAX($M$2:M452)+1,0)</f>
        <v>451</v>
      </c>
      <c r="V453" s="325" t="s">
        <v>2351</v>
      </c>
      <c r="W453" t="str">
        <f>IFERROR(VLOOKUP(ROWS($W$3:W453),$U$3:$V$992,2,0),"")</f>
        <v>Tisk novin</v>
      </c>
      <c r="X453">
        <f>IF(ISNUMBER(SEARCH('1Př1'!$A$34,N453)),MAX($M$2:M452)+1,0)</f>
        <v>451</v>
      </c>
      <c r="Y453" s="325" t="s">
        <v>2351</v>
      </c>
      <c r="Z453" t="str">
        <f>IFERROR(VLOOKUP(ROWS($Z$3:Z453),$X$3:$Y$992,2,0),"")</f>
        <v>Tisk novin</v>
      </c>
    </row>
    <row r="454" spans="13:26">
      <c r="M454" s="324">
        <f>IF(ISNUMBER(SEARCH(ZAKL_DATA!$B$29,N454)),MAX($M$2:M453)+1,0)</f>
        <v>452</v>
      </c>
      <c r="N454" s="325" t="s">
        <v>2353</v>
      </c>
      <c r="O454" s="340" t="s">
        <v>2354</v>
      </c>
      <c r="Q454" s="327" t="str">
        <f>IFERROR(VLOOKUP(ROWS($Q$3:Q454),$M$3:$N$992,2,0),"")</f>
        <v>Tisk ostatní, kromě novin</v>
      </c>
      <c r="R454">
        <f>IF(ISNUMBER(SEARCH('1Př1'!$A$32,N454)),MAX($M$2:M453)+1,0)</f>
        <v>452</v>
      </c>
      <c r="S454" s="325" t="s">
        <v>2353</v>
      </c>
      <c r="T454" t="str">
        <f>IFERROR(VLOOKUP(ROWS($T$3:T454),$R$3:$S$992,2,0),"")</f>
        <v>Tisk ostatní, kromě novin</v>
      </c>
      <c r="U454">
        <f>IF(ISNUMBER(SEARCH('1Př1'!$A$33,N454)),MAX($M$2:M453)+1,0)</f>
        <v>452</v>
      </c>
      <c r="V454" s="325" t="s">
        <v>2353</v>
      </c>
      <c r="W454" t="str">
        <f>IFERROR(VLOOKUP(ROWS($W$3:W454),$U$3:$V$992,2,0),"")</f>
        <v>Tisk ostatní, kromě novin</v>
      </c>
      <c r="X454">
        <f>IF(ISNUMBER(SEARCH('1Př1'!$A$34,N454)),MAX($M$2:M453)+1,0)</f>
        <v>452</v>
      </c>
      <c r="Y454" s="325" t="s">
        <v>2353</v>
      </c>
      <c r="Z454" t="str">
        <f>IFERROR(VLOOKUP(ROWS($Z$3:Z454),$X$3:$Y$992,2,0),"")</f>
        <v>Tisk ostatní, kromě novin</v>
      </c>
    </row>
    <row r="455" spans="13:26">
      <c r="M455" s="324">
        <f>IF(ISNUMBER(SEARCH(ZAKL_DATA!$B$29,N455)),MAX($M$2:M454)+1,0)</f>
        <v>453</v>
      </c>
      <c r="N455" s="325" t="s">
        <v>2355</v>
      </c>
      <c r="O455" s="340" t="s">
        <v>2356</v>
      </c>
      <c r="Q455" s="327" t="str">
        <f>IFERROR(VLOOKUP(ROWS($Q$3:Q455),$M$3:$N$992,2,0),"")</f>
        <v>Příprava tisku a digitálních dat</v>
      </c>
      <c r="R455">
        <f>IF(ISNUMBER(SEARCH('1Př1'!$A$32,N455)),MAX($M$2:M454)+1,0)</f>
        <v>453</v>
      </c>
      <c r="S455" s="325" t="s">
        <v>2355</v>
      </c>
      <c r="T455" t="str">
        <f>IFERROR(VLOOKUP(ROWS($T$3:T455),$R$3:$S$992,2,0),"")</f>
        <v>Příprava tisku a digitálních dat</v>
      </c>
      <c r="U455">
        <f>IF(ISNUMBER(SEARCH('1Př1'!$A$33,N455)),MAX($M$2:M454)+1,0)</f>
        <v>453</v>
      </c>
      <c r="V455" s="325" t="s">
        <v>2355</v>
      </c>
      <c r="W455" t="str">
        <f>IFERROR(VLOOKUP(ROWS($W$3:W455),$U$3:$V$992,2,0),"")</f>
        <v>Příprava tisku a digitálních dat</v>
      </c>
      <c r="X455">
        <f>IF(ISNUMBER(SEARCH('1Př1'!$A$34,N455)),MAX($M$2:M454)+1,0)</f>
        <v>453</v>
      </c>
      <c r="Y455" s="325" t="s">
        <v>2355</v>
      </c>
      <c r="Z455" t="str">
        <f>IFERROR(VLOOKUP(ROWS($Z$3:Z455),$X$3:$Y$992,2,0),"")</f>
        <v>Příprava tisku a digitálních dat</v>
      </c>
    </row>
    <row r="456" spans="13:26">
      <c r="M456" s="324">
        <f>IF(ISNUMBER(SEARCH(ZAKL_DATA!$B$29,N456)),MAX($M$2:M455)+1,0)</f>
        <v>454</v>
      </c>
      <c r="N456" s="325" t="s">
        <v>2357</v>
      </c>
      <c r="O456" s="340" t="s">
        <v>2358</v>
      </c>
      <c r="Q456" s="327" t="str">
        <f>IFERROR(VLOOKUP(ROWS($Q$3:Q456),$M$3:$N$992,2,0),"")</f>
        <v>Vázání a související činnosti</v>
      </c>
      <c r="R456">
        <f>IF(ISNUMBER(SEARCH('1Př1'!$A$32,N456)),MAX($M$2:M455)+1,0)</f>
        <v>454</v>
      </c>
      <c r="S456" s="325" t="s">
        <v>2357</v>
      </c>
      <c r="T456" t="str">
        <f>IFERROR(VLOOKUP(ROWS($T$3:T456),$R$3:$S$992,2,0),"")</f>
        <v>Vázání a související činnosti</v>
      </c>
      <c r="U456">
        <f>IF(ISNUMBER(SEARCH('1Př1'!$A$33,N456)),MAX($M$2:M455)+1,0)</f>
        <v>454</v>
      </c>
      <c r="V456" s="325" t="s">
        <v>2357</v>
      </c>
      <c r="W456" t="str">
        <f>IFERROR(VLOOKUP(ROWS($W$3:W456),$U$3:$V$992,2,0),"")</f>
        <v>Vázání a související činnosti</v>
      </c>
      <c r="X456">
        <f>IF(ISNUMBER(SEARCH('1Př1'!$A$34,N456)),MAX($M$2:M455)+1,0)</f>
        <v>454</v>
      </c>
      <c r="Y456" s="325" t="s">
        <v>2357</v>
      </c>
      <c r="Z456" t="str">
        <f>IFERROR(VLOOKUP(ROWS($Z$3:Z456),$X$3:$Y$992,2,0),"")</f>
        <v>Vázání a související činnosti</v>
      </c>
    </row>
    <row r="457" spans="13:26">
      <c r="M457" s="324">
        <f>IF(ISNUMBER(SEARCH(ZAKL_DATA!$B$29,N457)),MAX($M$2:M456)+1,0)</f>
        <v>455</v>
      </c>
      <c r="N457" s="325" t="s">
        <v>2359</v>
      </c>
      <c r="O457" s="340" t="s">
        <v>2360</v>
      </c>
      <c r="Q457" s="327" t="str">
        <f>IFERROR(VLOOKUP(ROWS($Q$3:Q457),$M$3:$N$992,2,0),"")</f>
        <v>Výroba technických plynů</v>
      </c>
      <c r="R457">
        <f>IF(ISNUMBER(SEARCH('1Př1'!$A$32,N457)),MAX($M$2:M456)+1,0)</f>
        <v>455</v>
      </c>
      <c r="S457" s="325" t="s">
        <v>2359</v>
      </c>
      <c r="T457" t="str">
        <f>IFERROR(VLOOKUP(ROWS($T$3:T457),$R$3:$S$992,2,0),"")</f>
        <v>Výroba technických plynů</v>
      </c>
      <c r="U457">
        <f>IF(ISNUMBER(SEARCH('1Př1'!$A$33,N457)),MAX($M$2:M456)+1,0)</f>
        <v>455</v>
      </c>
      <c r="V457" s="325" t="s">
        <v>2359</v>
      </c>
      <c r="W457" t="str">
        <f>IFERROR(VLOOKUP(ROWS($W$3:W457),$U$3:$V$992,2,0),"")</f>
        <v>Výroba technických plynů</v>
      </c>
      <c r="X457">
        <f>IF(ISNUMBER(SEARCH('1Př1'!$A$34,N457)),MAX($M$2:M456)+1,0)</f>
        <v>455</v>
      </c>
      <c r="Y457" s="325" t="s">
        <v>2359</v>
      </c>
      <c r="Z457" t="str">
        <f>IFERROR(VLOOKUP(ROWS($Z$3:Z457),$X$3:$Y$992,2,0),"")</f>
        <v>Výroba technických plynů</v>
      </c>
    </row>
    <row r="458" spans="13:26">
      <c r="M458" s="324">
        <f>IF(ISNUMBER(SEARCH(ZAKL_DATA!$B$29,N458)),MAX($M$2:M457)+1,0)</f>
        <v>456</v>
      </c>
      <c r="N458" s="325" t="s">
        <v>2361</v>
      </c>
      <c r="O458" s="340" t="s">
        <v>2362</v>
      </c>
      <c r="Q458" s="327" t="str">
        <f>IFERROR(VLOOKUP(ROWS($Q$3:Q458),$M$3:$N$992,2,0),"")</f>
        <v>Výroba barviv a pigmentů</v>
      </c>
      <c r="R458">
        <f>IF(ISNUMBER(SEARCH('1Př1'!$A$32,N458)),MAX($M$2:M457)+1,0)</f>
        <v>456</v>
      </c>
      <c r="S458" s="325" t="s">
        <v>2361</v>
      </c>
      <c r="T458" t="str">
        <f>IFERROR(VLOOKUP(ROWS($T$3:T458),$R$3:$S$992,2,0),"")</f>
        <v>Výroba barviv a pigmentů</v>
      </c>
      <c r="U458">
        <f>IF(ISNUMBER(SEARCH('1Př1'!$A$33,N458)),MAX($M$2:M457)+1,0)</f>
        <v>456</v>
      </c>
      <c r="V458" s="325" t="s">
        <v>2361</v>
      </c>
      <c r="W458" t="str">
        <f>IFERROR(VLOOKUP(ROWS($W$3:W458),$U$3:$V$992,2,0),"")</f>
        <v>Výroba barviv a pigmentů</v>
      </c>
      <c r="X458">
        <f>IF(ISNUMBER(SEARCH('1Př1'!$A$34,N458)),MAX($M$2:M457)+1,0)</f>
        <v>456</v>
      </c>
      <c r="Y458" s="325" t="s">
        <v>2361</v>
      </c>
      <c r="Z458" t="str">
        <f>IFERROR(VLOOKUP(ROWS($Z$3:Z458),$X$3:$Y$992,2,0),"")</f>
        <v>Výroba barviv a pigmentů</v>
      </c>
    </row>
    <row r="459" spans="13:26">
      <c r="M459" s="324">
        <f>IF(ISNUMBER(SEARCH(ZAKL_DATA!$B$29,N459)),MAX($M$2:M458)+1,0)</f>
        <v>457</v>
      </c>
      <c r="N459" s="325" t="s">
        <v>2363</v>
      </c>
      <c r="O459" s="340" t="s">
        <v>2364</v>
      </c>
      <c r="Q459" s="327" t="str">
        <f>IFERROR(VLOOKUP(ROWS($Q$3:Q459),$M$3:$N$992,2,0),"")</f>
        <v>Výroba jiných základních anorganických chemických látek</v>
      </c>
      <c r="R459">
        <f>IF(ISNUMBER(SEARCH('1Př1'!$A$32,N459)),MAX($M$2:M458)+1,0)</f>
        <v>457</v>
      </c>
      <c r="S459" s="325" t="s">
        <v>2363</v>
      </c>
      <c r="T459" t="str">
        <f>IFERROR(VLOOKUP(ROWS($T$3:T459),$R$3:$S$992,2,0),"")</f>
        <v>Výroba jiných základních anorganických chemických látek</v>
      </c>
      <c r="U459">
        <f>IF(ISNUMBER(SEARCH('1Př1'!$A$33,N459)),MAX($M$2:M458)+1,0)</f>
        <v>457</v>
      </c>
      <c r="V459" s="325" t="s">
        <v>2363</v>
      </c>
      <c r="W459" t="str">
        <f>IFERROR(VLOOKUP(ROWS($W$3:W459),$U$3:$V$992,2,0),"")</f>
        <v>Výroba jiných základních anorganických chemických látek</v>
      </c>
      <c r="X459">
        <f>IF(ISNUMBER(SEARCH('1Př1'!$A$34,N459)),MAX($M$2:M458)+1,0)</f>
        <v>457</v>
      </c>
      <c r="Y459" s="325" t="s">
        <v>2363</v>
      </c>
      <c r="Z459" t="str">
        <f>IFERROR(VLOOKUP(ROWS($Z$3:Z459),$X$3:$Y$992,2,0),"")</f>
        <v>Výroba jiných základních anorganických chemických látek</v>
      </c>
    </row>
    <row r="460" spans="13:26">
      <c r="M460" s="324">
        <f>IF(ISNUMBER(SEARCH(ZAKL_DATA!$B$29,N460)),MAX($M$2:M459)+1,0)</f>
        <v>458</v>
      </c>
      <c r="N460" s="325" t="s">
        <v>2365</v>
      </c>
      <c r="O460" s="340" t="s">
        <v>2366</v>
      </c>
      <c r="Q460" s="327" t="str">
        <f>IFERROR(VLOOKUP(ROWS($Q$3:Q460),$M$3:$N$992,2,0),"")</f>
        <v>Výroba jiných základních organických chemických látek</v>
      </c>
      <c r="R460">
        <f>IF(ISNUMBER(SEARCH('1Př1'!$A$32,N460)),MAX($M$2:M459)+1,0)</f>
        <v>458</v>
      </c>
      <c r="S460" s="325" t="s">
        <v>2365</v>
      </c>
      <c r="T460" t="str">
        <f>IFERROR(VLOOKUP(ROWS($T$3:T460),$R$3:$S$992,2,0),"")</f>
        <v>Výroba jiných základních organických chemických látek</v>
      </c>
      <c r="U460">
        <f>IF(ISNUMBER(SEARCH('1Př1'!$A$33,N460)),MAX($M$2:M459)+1,0)</f>
        <v>458</v>
      </c>
      <c r="V460" s="325" t="s">
        <v>2365</v>
      </c>
      <c r="W460" t="str">
        <f>IFERROR(VLOOKUP(ROWS($W$3:W460),$U$3:$V$992,2,0),"")</f>
        <v>Výroba jiných základních organických chemických látek</v>
      </c>
      <c r="X460">
        <f>IF(ISNUMBER(SEARCH('1Př1'!$A$34,N460)),MAX($M$2:M459)+1,0)</f>
        <v>458</v>
      </c>
      <c r="Y460" s="325" t="s">
        <v>2365</v>
      </c>
      <c r="Z460" t="str">
        <f>IFERROR(VLOOKUP(ROWS($Z$3:Z460),$X$3:$Y$992,2,0),"")</f>
        <v>Výroba jiných základních organických chemických látek</v>
      </c>
    </row>
    <row r="461" spans="13:26">
      <c r="M461" s="324">
        <f>IF(ISNUMBER(SEARCH(ZAKL_DATA!$B$29,N461)),MAX($M$2:M460)+1,0)</f>
        <v>459</v>
      </c>
      <c r="N461" s="325" t="s">
        <v>2367</v>
      </c>
      <c r="O461" s="340" t="s">
        <v>2368</v>
      </c>
      <c r="Q461" s="327" t="str">
        <f>IFERROR(VLOOKUP(ROWS($Q$3:Q461),$M$3:$N$992,2,0),"")</f>
        <v>Výroba hnojiv a dusíkatých sloučenin</v>
      </c>
      <c r="R461">
        <f>IF(ISNUMBER(SEARCH('1Př1'!$A$32,N461)),MAX($M$2:M460)+1,0)</f>
        <v>459</v>
      </c>
      <c r="S461" s="325" t="s">
        <v>2367</v>
      </c>
      <c r="T461" t="str">
        <f>IFERROR(VLOOKUP(ROWS($T$3:T461),$R$3:$S$992,2,0),"")</f>
        <v>Výroba hnojiv a dusíkatých sloučenin</v>
      </c>
      <c r="U461">
        <f>IF(ISNUMBER(SEARCH('1Př1'!$A$33,N461)),MAX($M$2:M460)+1,0)</f>
        <v>459</v>
      </c>
      <c r="V461" s="325" t="s">
        <v>2367</v>
      </c>
      <c r="W461" t="str">
        <f>IFERROR(VLOOKUP(ROWS($W$3:W461),$U$3:$V$992,2,0),"")</f>
        <v>Výroba hnojiv a dusíkatých sloučenin</v>
      </c>
      <c r="X461">
        <f>IF(ISNUMBER(SEARCH('1Př1'!$A$34,N461)),MAX($M$2:M460)+1,0)</f>
        <v>459</v>
      </c>
      <c r="Y461" s="325" t="s">
        <v>2367</v>
      </c>
      <c r="Z461" t="str">
        <f>IFERROR(VLOOKUP(ROWS($Z$3:Z461),$X$3:$Y$992,2,0),"")</f>
        <v>Výroba hnojiv a dusíkatých sloučenin</v>
      </c>
    </row>
    <row r="462" spans="13:26">
      <c r="M462" s="324">
        <f>IF(ISNUMBER(SEARCH(ZAKL_DATA!$B$29,N462)),MAX($M$2:M461)+1,0)</f>
        <v>460</v>
      </c>
      <c r="N462" s="325" t="s">
        <v>2369</v>
      </c>
      <c r="O462" s="340" t="s">
        <v>2370</v>
      </c>
      <c r="Q462" s="327" t="str">
        <f>IFERROR(VLOOKUP(ROWS($Q$3:Q462),$M$3:$N$992,2,0),"")</f>
        <v>Výroba plastů v primárních formách</v>
      </c>
      <c r="R462">
        <f>IF(ISNUMBER(SEARCH('1Př1'!$A$32,N462)),MAX($M$2:M461)+1,0)</f>
        <v>460</v>
      </c>
      <c r="S462" s="325" t="s">
        <v>2369</v>
      </c>
      <c r="T462" t="str">
        <f>IFERROR(VLOOKUP(ROWS($T$3:T462),$R$3:$S$992,2,0),"")</f>
        <v>Výroba plastů v primárních formách</v>
      </c>
      <c r="U462">
        <f>IF(ISNUMBER(SEARCH('1Př1'!$A$33,N462)),MAX($M$2:M461)+1,0)</f>
        <v>460</v>
      </c>
      <c r="V462" s="325" t="s">
        <v>2369</v>
      </c>
      <c r="W462" t="str">
        <f>IFERROR(VLOOKUP(ROWS($W$3:W462),$U$3:$V$992,2,0),"")</f>
        <v>Výroba plastů v primárních formách</v>
      </c>
      <c r="X462">
        <f>IF(ISNUMBER(SEARCH('1Př1'!$A$34,N462)),MAX($M$2:M461)+1,0)</f>
        <v>460</v>
      </c>
      <c r="Y462" s="325" t="s">
        <v>2369</v>
      </c>
      <c r="Z462" t="str">
        <f>IFERROR(VLOOKUP(ROWS($Z$3:Z462),$X$3:$Y$992,2,0),"")</f>
        <v>Výroba plastů v primárních formách</v>
      </c>
    </row>
    <row r="463" spans="13:26">
      <c r="M463" s="324">
        <f>IF(ISNUMBER(SEARCH(ZAKL_DATA!$B$29,N463)),MAX($M$2:M462)+1,0)</f>
        <v>461</v>
      </c>
      <c r="N463" s="325" t="s">
        <v>2371</v>
      </c>
      <c r="O463" s="340" t="s">
        <v>2372</v>
      </c>
      <c r="Q463" s="327" t="str">
        <f>IFERROR(VLOOKUP(ROWS($Q$3:Q463),$M$3:$N$992,2,0),"")</f>
        <v>Výroba syntetického kaučuku v primárních formách</v>
      </c>
      <c r="R463">
        <f>IF(ISNUMBER(SEARCH('1Př1'!$A$32,N463)),MAX($M$2:M462)+1,0)</f>
        <v>461</v>
      </c>
      <c r="S463" s="325" t="s">
        <v>2371</v>
      </c>
      <c r="T463" t="str">
        <f>IFERROR(VLOOKUP(ROWS($T$3:T463),$R$3:$S$992,2,0),"")</f>
        <v>Výroba syntetického kaučuku v primárních formách</v>
      </c>
      <c r="U463">
        <f>IF(ISNUMBER(SEARCH('1Př1'!$A$33,N463)),MAX($M$2:M462)+1,0)</f>
        <v>461</v>
      </c>
      <c r="V463" s="325" t="s">
        <v>2371</v>
      </c>
      <c r="W463" t="str">
        <f>IFERROR(VLOOKUP(ROWS($W$3:W463),$U$3:$V$992,2,0),"")</f>
        <v>Výroba syntetického kaučuku v primárních formách</v>
      </c>
      <c r="X463">
        <f>IF(ISNUMBER(SEARCH('1Př1'!$A$34,N463)),MAX($M$2:M462)+1,0)</f>
        <v>461</v>
      </c>
      <c r="Y463" s="325" t="s">
        <v>2371</v>
      </c>
      <c r="Z463" t="str">
        <f>IFERROR(VLOOKUP(ROWS($Z$3:Z463),$X$3:$Y$992,2,0),"")</f>
        <v>Výroba syntetického kaučuku v primárních formách</v>
      </c>
    </row>
    <row r="464" spans="13:26">
      <c r="M464" s="324">
        <f>IF(ISNUMBER(SEARCH(ZAKL_DATA!$B$29,N464)),MAX($M$2:M463)+1,0)</f>
        <v>462</v>
      </c>
      <c r="N464" s="325" t="s">
        <v>2373</v>
      </c>
      <c r="O464" s="340" t="s">
        <v>2374</v>
      </c>
      <c r="Q464" s="327" t="str">
        <f>IFERROR(VLOOKUP(ROWS($Q$3:Q464),$M$3:$N$992,2,0),"")</f>
        <v>Výroba mýdel a detergentů, čisticích a lešticích prostředků</v>
      </c>
      <c r="R464">
        <f>IF(ISNUMBER(SEARCH('1Př1'!$A$32,N464)),MAX($M$2:M463)+1,0)</f>
        <v>462</v>
      </c>
      <c r="S464" s="325" t="s">
        <v>2373</v>
      </c>
      <c r="T464" t="str">
        <f>IFERROR(VLOOKUP(ROWS($T$3:T464),$R$3:$S$992,2,0),"")</f>
        <v>Výroba mýdel a detergentů, čisticích a lešticích prostředků</v>
      </c>
      <c r="U464">
        <f>IF(ISNUMBER(SEARCH('1Př1'!$A$33,N464)),MAX($M$2:M463)+1,0)</f>
        <v>462</v>
      </c>
      <c r="V464" s="325" t="s">
        <v>2373</v>
      </c>
      <c r="W464" t="str">
        <f>IFERROR(VLOOKUP(ROWS($W$3:W464),$U$3:$V$992,2,0),"")</f>
        <v>Výroba mýdel a detergentů, čisticích a lešticích prostředků</v>
      </c>
      <c r="X464">
        <f>IF(ISNUMBER(SEARCH('1Př1'!$A$34,N464)),MAX($M$2:M463)+1,0)</f>
        <v>462</v>
      </c>
      <c r="Y464" s="325" t="s">
        <v>2373</v>
      </c>
      <c r="Z464" t="str">
        <f>IFERROR(VLOOKUP(ROWS($Z$3:Z464),$X$3:$Y$992,2,0),"")</f>
        <v>Výroba mýdel a detergentů, čisticích a lešticích prostředků</v>
      </c>
    </row>
    <row r="465" spans="13:26">
      <c r="M465" s="324">
        <f>IF(ISNUMBER(SEARCH(ZAKL_DATA!$B$29,N465)),MAX($M$2:M464)+1,0)</f>
        <v>463</v>
      </c>
      <c r="N465" s="325" t="s">
        <v>2375</v>
      </c>
      <c r="O465" s="340" t="s">
        <v>2376</v>
      </c>
      <c r="Q465" s="327" t="str">
        <f>IFERROR(VLOOKUP(ROWS($Q$3:Q465),$M$3:$N$992,2,0),"")</f>
        <v>Výroba parfémů a toaletních přípravků</v>
      </c>
      <c r="R465">
        <f>IF(ISNUMBER(SEARCH('1Př1'!$A$32,N465)),MAX($M$2:M464)+1,0)</f>
        <v>463</v>
      </c>
      <c r="S465" s="325" t="s">
        <v>2375</v>
      </c>
      <c r="T465" t="str">
        <f>IFERROR(VLOOKUP(ROWS($T$3:T465),$R$3:$S$992,2,0),"")</f>
        <v>Výroba parfémů a toaletních přípravků</v>
      </c>
      <c r="U465">
        <f>IF(ISNUMBER(SEARCH('1Př1'!$A$33,N465)),MAX($M$2:M464)+1,0)</f>
        <v>463</v>
      </c>
      <c r="V465" s="325" t="s">
        <v>2375</v>
      </c>
      <c r="W465" t="str">
        <f>IFERROR(VLOOKUP(ROWS($W$3:W465),$U$3:$V$992,2,0),"")</f>
        <v>Výroba parfémů a toaletních přípravků</v>
      </c>
      <c r="X465">
        <f>IF(ISNUMBER(SEARCH('1Př1'!$A$34,N465)),MAX($M$2:M464)+1,0)</f>
        <v>463</v>
      </c>
      <c r="Y465" s="325" t="s">
        <v>2375</v>
      </c>
      <c r="Z465" t="str">
        <f>IFERROR(VLOOKUP(ROWS($Z$3:Z465),$X$3:$Y$992,2,0),"")</f>
        <v>Výroba parfémů a toaletních přípravků</v>
      </c>
    </row>
    <row r="466" spans="13:26">
      <c r="M466" s="324">
        <f>IF(ISNUMBER(SEARCH(ZAKL_DATA!$B$29,N466)),MAX($M$2:M465)+1,0)</f>
        <v>464</v>
      </c>
      <c r="N466" s="325" t="s">
        <v>2377</v>
      </c>
      <c r="O466" s="340" t="s">
        <v>2378</v>
      </c>
      <c r="Q466" s="327" t="str">
        <f>IFERROR(VLOOKUP(ROWS($Q$3:Q466),$M$3:$N$992,2,0),"")</f>
        <v>Výroba výbušnin</v>
      </c>
      <c r="R466">
        <f>IF(ISNUMBER(SEARCH('1Př1'!$A$32,N466)),MAX($M$2:M465)+1,0)</f>
        <v>464</v>
      </c>
      <c r="S466" s="325" t="s">
        <v>2377</v>
      </c>
      <c r="T466" t="str">
        <f>IFERROR(VLOOKUP(ROWS($T$3:T466),$R$3:$S$992,2,0),"")</f>
        <v>Výroba výbušnin</v>
      </c>
      <c r="U466">
        <f>IF(ISNUMBER(SEARCH('1Př1'!$A$33,N466)),MAX($M$2:M465)+1,0)</f>
        <v>464</v>
      </c>
      <c r="V466" s="325" t="s">
        <v>2377</v>
      </c>
      <c r="W466" t="str">
        <f>IFERROR(VLOOKUP(ROWS($W$3:W466),$U$3:$V$992,2,0),"")</f>
        <v>Výroba výbušnin</v>
      </c>
      <c r="X466">
        <f>IF(ISNUMBER(SEARCH('1Př1'!$A$34,N466)),MAX($M$2:M465)+1,0)</f>
        <v>464</v>
      </c>
      <c r="Y466" s="325" t="s">
        <v>2377</v>
      </c>
      <c r="Z466" t="str">
        <f>IFERROR(VLOOKUP(ROWS($Z$3:Z466),$X$3:$Y$992,2,0),"")</f>
        <v>Výroba výbušnin</v>
      </c>
    </row>
    <row r="467" spans="13:26">
      <c r="M467" s="324">
        <f>IF(ISNUMBER(SEARCH(ZAKL_DATA!$B$29,N467)),MAX($M$2:M466)+1,0)</f>
        <v>465</v>
      </c>
      <c r="N467" s="325" t="s">
        <v>2379</v>
      </c>
      <c r="O467" s="340" t="s">
        <v>2380</v>
      </c>
      <c r="Q467" s="327" t="str">
        <f>IFERROR(VLOOKUP(ROWS($Q$3:Q467),$M$3:$N$992,2,0),"")</f>
        <v>Výroba klihů</v>
      </c>
      <c r="R467">
        <f>IF(ISNUMBER(SEARCH('1Př1'!$A$32,N467)),MAX($M$2:M466)+1,0)</f>
        <v>465</v>
      </c>
      <c r="S467" s="325" t="s">
        <v>2379</v>
      </c>
      <c r="T467" t="str">
        <f>IFERROR(VLOOKUP(ROWS($T$3:T467),$R$3:$S$992,2,0),"")</f>
        <v>Výroba klihů</v>
      </c>
      <c r="U467">
        <f>IF(ISNUMBER(SEARCH('1Př1'!$A$33,N467)),MAX($M$2:M466)+1,0)</f>
        <v>465</v>
      </c>
      <c r="V467" s="325" t="s">
        <v>2379</v>
      </c>
      <c r="W467" t="str">
        <f>IFERROR(VLOOKUP(ROWS($W$3:W467),$U$3:$V$992,2,0),"")</f>
        <v>Výroba klihů</v>
      </c>
      <c r="X467">
        <f>IF(ISNUMBER(SEARCH('1Př1'!$A$34,N467)),MAX($M$2:M466)+1,0)</f>
        <v>465</v>
      </c>
      <c r="Y467" s="325" t="s">
        <v>2379</v>
      </c>
      <c r="Z467" t="str">
        <f>IFERROR(VLOOKUP(ROWS($Z$3:Z467),$X$3:$Y$992,2,0),"")</f>
        <v>Výroba klihů</v>
      </c>
    </row>
    <row r="468" spans="13:26">
      <c r="M468" s="324">
        <f>IF(ISNUMBER(SEARCH(ZAKL_DATA!$B$29,N468)),MAX($M$2:M467)+1,0)</f>
        <v>466</v>
      </c>
      <c r="N468" s="325" t="s">
        <v>2381</v>
      </c>
      <c r="O468" s="340" t="s">
        <v>2382</v>
      </c>
      <c r="Q468" s="327" t="str">
        <f>IFERROR(VLOOKUP(ROWS($Q$3:Q468),$M$3:$N$992,2,0),"")</f>
        <v>Výroba vonných silic</v>
      </c>
      <c r="R468">
        <f>IF(ISNUMBER(SEARCH('1Př1'!$A$32,N468)),MAX($M$2:M467)+1,0)</f>
        <v>466</v>
      </c>
      <c r="S468" s="325" t="s">
        <v>2381</v>
      </c>
      <c r="T468" t="str">
        <f>IFERROR(VLOOKUP(ROWS($T$3:T468),$R$3:$S$992,2,0),"")</f>
        <v>Výroba vonných silic</v>
      </c>
      <c r="U468">
        <f>IF(ISNUMBER(SEARCH('1Př1'!$A$33,N468)),MAX($M$2:M467)+1,0)</f>
        <v>466</v>
      </c>
      <c r="V468" s="325" t="s">
        <v>2381</v>
      </c>
      <c r="W468" t="str">
        <f>IFERROR(VLOOKUP(ROWS($W$3:W468),$U$3:$V$992,2,0),"")</f>
        <v>Výroba vonných silic</v>
      </c>
      <c r="X468">
        <f>IF(ISNUMBER(SEARCH('1Př1'!$A$34,N468)),MAX($M$2:M467)+1,0)</f>
        <v>466</v>
      </c>
      <c r="Y468" s="325" t="s">
        <v>2381</v>
      </c>
      <c r="Z468" t="str">
        <f>IFERROR(VLOOKUP(ROWS($Z$3:Z468),$X$3:$Y$992,2,0),"")</f>
        <v>Výroba vonných silic</v>
      </c>
    </row>
    <row r="469" spans="13:26">
      <c r="M469" s="324">
        <f>IF(ISNUMBER(SEARCH(ZAKL_DATA!$B$29,N469)),MAX($M$2:M468)+1,0)</f>
        <v>467</v>
      </c>
      <c r="N469" s="325" t="s">
        <v>2383</v>
      </c>
      <c r="O469" s="340" t="s">
        <v>2384</v>
      </c>
      <c r="Q469" s="327" t="str">
        <f>IFERROR(VLOOKUP(ROWS($Q$3:Q469),$M$3:$N$992,2,0),"")</f>
        <v>Výroba ostatních chemických výrobků j. n.</v>
      </c>
      <c r="R469">
        <f>IF(ISNUMBER(SEARCH('1Př1'!$A$32,N469)),MAX($M$2:M468)+1,0)</f>
        <v>467</v>
      </c>
      <c r="S469" s="325" t="s">
        <v>2383</v>
      </c>
      <c r="T469" t="str">
        <f>IFERROR(VLOOKUP(ROWS($T$3:T469),$R$3:$S$992,2,0),"")</f>
        <v>Výroba ostatních chemických výrobků j. n.</v>
      </c>
      <c r="U469">
        <f>IF(ISNUMBER(SEARCH('1Př1'!$A$33,N469)),MAX($M$2:M468)+1,0)</f>
        <v>467</v>
      </c>
      <c r="V469" s="325" t="s">
        <v>2383</v>
      </c>
      <c r="W469" t="str">
        <f>IFERROR(VLOOKUP(ROWS($W$3:W469),$U$3:$V$992,2,0),"")</f>
        <v>Výroba ostatních chemických výrobků j. n.</v>
      </c>
      <c r="X469">
        <f>IF(ISNUMBER(SEARCH('1Př1'!$A$34,N469)),MAX($M$2:M468)+1,0)</f>
        <v>467</v>
      </c>
      <c r="Y469" s="325" t="s">
        <v>2383</v>
      </c>
      <c r="Z469" t="str">
        <f>IFERROR(VLOOKUP(ROWS($Z$3:Z469),$X$3:$Y$992,2,0),"")</f>
        <v>Výroba ostatních chemických výrobků j. n.</v>
      </c>
    </row>
    <row r="470" spans="13:26">
      <c r="M470" s="324">
        <f>IF(ISNUMBER(SEARCH(ZAKL_DATA!$B$29,N470)),MAX($M$2:M469)+1,0)</f>
        <v>468</v>
      </c>
      <c r="N470" s="325" t="s">
        <v>2385</v>
      </c>
      <c r="O470" s="340" t="s">
        <v>2386</v>
      </c>
      <c r="Q470" s="327" t="str">
        <f>IFERROR(VLOOKUP(ROWS($Q$3:Q470),$M$3:$N$992,2,0),"")</f>
        <v>Výroba pryžových plášťů a duší; protektorování pneumatik</v>
      </c>
      <c r="R470">
        <f>IF(ISNUMBER(SEARCH('1Př1'!$A$32,N470)),MAX($M$2:M469)+1,0)</f>
        <v>468</v>
      </c>
      <c r="S470" s="325" t="s">
        <v>2385</v>
      </c>
      <c r="T470" t="str">
        <f>IFERROR(VLOOKUP(ROWS($T$3:T470),$R$3:$S$992,2,0),"")</f>
        <v>Výroba pryžových plášťů a duší; protektorování pneumatik</v>
      </c>
      <c r="U470">
        <f>IF(ISNUMBER(SEARCH('1Př1'!$A$33,N470)),MAX($M$2:M469)+1,0)</f>
        <v>468</v>
      </c>
      <c r="V470" s="325" t="s">
        <v>2385</v>
      </c>
      <c r="W470" t="str">
        <f>IFERROR(VLOOKUP(ROWS($W$3:W470),$U$3:$V$992,2,0),"")</f>
        <v>Výroba pryžových plášťů a duší; protektorování pneumatik</v>
      </c>
      <c r="X470">
        <f>IF(ISNUMBER(SEARCH('1Př1'!$A$34,N470)),MAX($M$2:M469)+1,0)</f>
        <v>468</v>
      </c>
      <c r="Y470" s="325" t="s">
        <v>2385</v>
      </c>
      <c r="Z470" t="str">
        <f>IFERROR(VLOOKUP(ROWS($Z$3:Z470),$X$3:$Y$992,2,0),"")</f>
        <v>Výroba pryžových plášťů a duší; protektorování pneumatik</v>
      </c>
    </row>
    <row r="471" spans="13:26">
      <c r="M471" s="324">
        <f>IF(ISNUMBER(SEARCH(ZAKL_DATA!$B$29,N471)),MAX($M$2:M470)+1,0)</f>
        <v>469</v>
      </c>
      <c r="N471" s="325" t="s">
        <v>2387</v>
      </c>
      <c r="O471" s="340" t="s">
        <v>2388</v>
      </c>
      <c r="Q471" s="327" t="str">
        <f>IFERROR(VLOOKUP(ROWS($Q$3:Q471),$M$3:$N$992,2,0),"")</f>
        <v>Výroba ostatních pryžových výrobků</v>
      </c>
      <c r="R471">
        <f>IF(ISNUMBER(SEARCH('1Př1'!$A$32,N471)),MAX($M$2:M470)+1,0)</f>
        <v>469</v>
      </c>
      <c r="S471" s="325" t="s">
        <v>2387</v>
      </c>
      <c r="T471" t="str">
        <f>IFERROR(VLOOKUP(ROWS($T$3:T471),$R$3:$S$992,2,0),"")</f>
        <v>Výroba ostatních pryžových výrobků</v>
      </c>
      <c r="U471">
        <f>IF(ISNUMBER(SEARCH('1Př1'!$A$33,N471)),MAX($M$2:M470)+1,0)</f>
        <v>469</v>
      </c>
      <c r="V471" s="325" t="s">
        <v>2387</v>
      </c>
      <c r="W471" t="str">
        <f>IFERROR(VLOOKUP(ROWS($W$3:W471),$U$3:$V$992,2,0),"")</f>
        <v>Výroba ostatních pryžových výrobků</v>
      </c>
      <c r="X471">
        <f>IF(ISNUMBER(SEARCH('1Př1'!$A$34,N471)),MAX($M$2:M470)+1,0)</f>
        <v>469</v>
      </c>
      <c r="Y471" s="325" t="s">
        <v>2387</v>
      </c>
      <c r="Z471" t="str">
        <f>IFERROR(VLOOKUP(ROWS($Z$3:Z471),$X$3:$Y$992,2,0),"")</f>
        <v>Výroba ostatních pryžových výrobků</v>
      </c>
    </row>
    <row r="472" spans="13:26">
      <c r="M472" s="324">
        <f>IF(ISNUMBER(SEARCH(ZAKL_DATA!$B$29,N472)),MAX($M$2:M471)+1,0)</f>
        <v>470</v>
      </c>
      <c r="N472" s="325" t="s">
        <v>2389</v>
      </c>
      <c r="O472" s="340" t="s">
        <v>2390</v>
      </c>
      <c r="Q472" s="327" t="str">
        <f>IFERROR(VLOOKUP(ROWS($Q$3:Q472),$M$3:$N$992,2,0),"")</f>
        <v>Výroba plastových desek, fólií, hadic, trubek a profilů</v>
      </c>
      <c r="R472">
        <f>IF(ISNUMBER(SEARCH('1Př1'!$A$32,N472)),MAX($M$2:M471)+1,0)</f>
        <v>470</v>
      </c>
      <c r="S472" s="325" t="s">
        <v>2389</v>
      </c>
      <c r="T472" t="str">
        <f>IFERROR(VLOOKUP(ROWS($T$3:T472),$R$3:$S$992,2,0),"")</f>
        <v>Výroba plastových desek, fólií, hadic, trubek a profilů</v>
      </c>
      <c r="U472">
        <f>IF(ISNUMBER(SEARCH('1Př1'!$A$33,N472)),MAX($M$2:M471)+1,0)</f>
        <v>470</v>
      </c>
      <c r="V472" s="325" t="s">
        <v>2389</v>
      </c>
      <c r="W472" t="str">
        <f>IFERROR(VLOOKUP(ROWS($W$3:W472),$U$3:$V$992,2,0),"")</f>
        <v>Výroba plastových desek, fólií, hadic, trubek a profilů</v>
      </c>
      <c r="X472">
        <f>IF(ISNUMBER(SEARCH('1Př1'!$A$34,N472)),MAX($M$2:M471)+1,0)</f>
        <v>470</v>
      </c>
      <c r="Y472" s="325" t="s">
        <v>2389</v>
      </c>
      <c r="Z472" t="str">
        <f>IFERROR(VLOOKUP(ROWS($Z$3:Z472),$X$3:$Y$992,2,0),"")</f>
        <v>Výroba plastových desek, fólií, hadic, trubek a profilů</v>
      </c>
    </row>
    <row r="473" spans="13:26">
      <c r="M473" s="324">
        <f>IF(ISNUMBER(SEARCH(ZAKL_DATA!$B$29,N473)),MAX($M$2:M472)+1,0)</f>
        <v>471</v>
      </c>
      <c r="N473" s="325" t="s">
        <v>2391</v>
      </c>
      <c r="O473" s="340" t="s">
        <v>2392</v>
      </c>
      <c r="Q473" s="327" t="str">
        <f>IFERROR(VLOOKUP(ROWS($Q$3:Q473),$M$3:$N$992,2,0),"")</f>
        <v>Výroba plastových obalů</v>
      </c>
      <c r="R473">
        <f>IF(ISNUMBER(SEARCH('1Př1'!$A$32,N473)),MAX($M$2:M472)+1,0)</f>
        <v>471</v>
      </c>
      <c r="S473" s="325" t="s">
        <v>2391</v>
      </c>
      <c r="T473" t="str">
        <f>IFERROR(VLOOKUP(ROWS($T$3:T473),$R$3:$S$992,2,0),"")</f>
        <v>Výroba plastových obalů</v>
      </c>
      <c r="U473">
        <f>IF(ISNUMBER(SEARCH('1Př1'!$A$33,N473)),MAX($M$2:M472)+1,0)</f>
        <v>471</v>
      </c>
      <c r="V473" s="325" t="s">
        <v>2391</v>
      </c>
      <c r="W473" t="str">
        <f>IFERROR(VLOOKUP(ROWS($W$3:W473),$U$3:$V$992,2,0),"")</f>
        <v>Výroba plastových obalů</v>
      </c>
      <c r="X473">
        <f>IF(ISNUMBER(SEARCH('1Př1'!$A$34,N473)),MAX($M$2:M472)+1,0)</f>
        <v>471</v>
      </c>
      <c r="Y473" s="325" t="s">
        <v>2391</v>
      </c>
      <c r="Z473" t="str">
        <f>IFERROR(VLOOKUP(ROWS($Z$3:Z473),$X$3:$Y$992,2,0),"")</f>
        <v>Výroba plastových obalů</v>
      </c>
    </row>
    <row r="474" spans="13:26">
      <c r="M474" s="324">
        <f>IF(ISNUMBER(SEARCH(ZAKL_DATA!$B$29,N474)),MAX($M$2:M473)+1,0)</f>
        <v>472</v>
      </c>
      <c r="N474" s="325" t="s">
        <v>2393</v>
      </c>
      <c r="O474" s="340" t="s">
        <v>2394</v>
      </c>
      <c r="Q474" s="327" t="str">
        <f>IFERROR(VLOOKUP(ROWS($Q$3:Q474),$M$3:$N$992,2,0),"")</f>
        <v>Výroba plastových výrobků pro stavebnictví</v>
      </c>
      <c r="R474">
        <f>IF(ISNUMBER(SEARCH('1Př1'!$A$32,N474)),MAX($M$2:M473)+1,0)</f>
        <v>472</v>
      </c>
      <c r="S474" s="325" t="s">
        <v>2393</v>
      </c>
      <c r="T474" t="str">
        <f>IFERROR(VLOOKUP(ROWS($T$3:T474),$R$3:$S$992,2,0),"")</f>
        <v>Výroba plastových výrobků pro stavebnictví</v>
      </c>
      <c r="U474">
        <f>IF(ISNUMBER(SEARCH('1Př1'!$A$33,N474)),MAX($M$2:M473)+1,0)</f>
        <v>472</v>
      </c>
      <c r="V474" s="325" t="s">
        <v>2393</v>
      </c>
      <c r="W474" t="str">
        <f>IFERROR(VLOOKUP(ROWS($W$3:W474),$U$3:$V$992,2,0),"")</f>
        <v>Výroba plastových výrobků pro stavebnictví</v>
      </c>
      <c r="X474">
        <f>IF(ISNUMBER(SEARCH('1Př1'!$A$34,N474)),MAX($M$2:M473)+1,0)</f>
        <v>472</v>
      </c>
      <c r="Y474" s="325" t="s">
        <v>2393</v>
      </c>
      <c r="Z474" t="str">
        <f>IFERROR(VLOOKUP(ROWS($Z$3:Z474),$X$3:$Y$992,2,0),"")</f>
        <v>Výroba plastových výrobků pro stavebnictví</v>
      </c>
    </row>
    <row r="475" spans="13:26">
      <c r="M475" s="324">
        <f>IF(ISNUMBER(SEARCH(ZAKL_DATA!$B$29,N475)),MAX($M$2:M474)+1,0)</f>
        <v>473</v>
      </c>
      <c r="N475" s="325" t="s">
        <v>2395</v>
      </c>
      <c r="O475" s="340" t="s">
        <v>2396</v>
      </c>
      <c r="Q475" s="327" t="str">
        <f>IFERROR(VLOOKUP(ROWS($Q$3:Q475),$M$3:$N$992,2,0),"")</f>
        <v>Výroba ostatních plastových výrobků</v>
      </c>
      <c r="R475">
        <f>IF(ISNUMBER(SEARCH('1Př1'!$A$32,N475)),MAX($M$2:M474)+1,0)</f>
        <v>473</v>
      </c>
      <c r="S475" s="325" t="s">
        <v>2395</v>
      </c>
      <c r="T475" t="str">
        <f>IFERROR(VLOOKUP(ROWS($T$3:T475),$R$3:$S$992,2,0),"")</f>
        <v>Výroba ostatních plastových výrobků</v>
      </c>
      <c r="U475">
        <f>IF(ISNUMBER(SEARCH('1Př1'!$A$33,N475)),MAX($M$2:M474)+1,0)</f>
        <v>473</v>
      </c>
      <c r="V475" s="325" t="s">
        <v>2395</v>
      </c>
      <c r="W475" t="str">
        <f>IFERROR(VLOOKUP(ROWS($W$3:W475),$U$3:$V$992,2,0),"")</f>
        <v>Výroba ostatních plastových výrobků</v>
      </c>
      <c r="X475">
        <f>IF(ISNUMBER(SEARCH('1Př1'!$A$34,N475)),MAX($M$2:M474)+1,0)</f>
        <v>473</v>
      </c>
      <c r="Y475" s="325" t="s">
        <v>2395</v>
      </c>
      <c r="Z475" t="str">
        <f>IFERROR(VLOOKUP(ROWS($Z$3:Z475),$X$3:$Y$992,2,0),"")</f>
        <v>Výroba ostatních plastových výrobků</v>
      </c>
    </row>
    <row r="476" spans="13:26">
      <c r="M476" s="324">
        <f>IF(ISNUMBER(SEARCH(ZAKL_DATA!$B$29,N476)),MAX($M$2:M475)+1,0)</f>
        <v>474</v>
      </c>
      <c r="N476" s="325" t="s">
        <v>2397</v>
      </c>
      <c r="O476" s="340" t="s">
        <v>2398</v>
      </c>
      <c r="Q476" s="327" t="str">
        <f>IFERROR(VLOOKUP(ROWS($Q$3:Q476),$M$3:$N$992,2,0),"")</f>
        <v>Výroba plochého skla</v>
      </c>
      <c r="R476">
        <f>IF(ISNUMBER(SEARCH('1Př1'!$A$32,N476)),MAX($M$2:M475)+1,0)</f>
        <v>474</v>
      </c>
      <c r="S476" s="325" t="s">
        <v>2397</v>
      </c>
      <c r="T476" t="str">
        <f>IFERROR(VLOOKUP(ROWS($T$3:T476),$R$3:$S$992,2,0),"")</f>
        <v>Výroba plochého skla</v>
      </c>
      <c r="U476">
        <f>IF(ISNUMBER(SEARCH('1Př1'!$A$33,N476)),MAX($M$2:M475)+1,0)</f>
        <v>474</v>
      </c>
      <c r="V476" s="325" t="s">
        <v>2397</v>
      </c>
      <c r="W476" t="str">
        <f>IFERROR(VLOOKUP(ROWS($W$3:W476),$U$3:$V$992,2,0),"")</f>
        <v>Výroba plochého skla</v>
      </c>
      <c r="X476">
        <f>IF(ISNUMBER(SEARCH('1Př1'!$A$34,N476)),MAX($M$2:M475)+1,0)</f>
        <v>474</v>
      </c>
      <c r="Y476" s="325" t="s">
        <v>2397</v>
      </c>
      <c r="Z476" t="str">
        <f>IFERROR(VLOOKUP(ROWS($Z$3:Z476),$X$3:$Y$992,2,0),"")</f>
        <v>Výroba plochého skla</v>
      </c>
    </row>
    <row r="477" spans="13:26">
      <c r="M477" s="324">
        <f>IF(ISNUMBER(SEARCH(ZAKL_DATA!$B$29,N477)),MAX($M$2:M476)+1,0)</f>
        <v>475</v>
      </c>
      <c r="N477" s="325" t="s">
        <v>2399</v>
      </c>
      <c r="O477" s="340" t="s">
        <v>2400</v>
      </c>
      <c r="Q477" s="327" t="str">
        <f>IFERROR(VLOOKUP(ROWS($Q$3:Q477),$M$3:$N$992,2,0),"")</f>
        <v>Tvarování a zpracování plochého skla</v>
      </c>
      <c r="R477">
        <f>IF(ISNUMBER(SEARCH('1Př1'!$A$32,N477)),MAX($M$2:M476)+1,0)</f>
        <v>475</v>
      </c>
      <c r="S477" s="325" t="s">
        <v>2399</v>
      </c>
      <c r="T477" t="str">
        <f>IFERROR(VLOOKUP(ROWS($T$3:T477),$R$3:$S$992,2,0),"")</f>
        <v>Tvarování a zpracování plochého skla</v>
      </c>
      <c r="U477">
        <f>IF(ISNUMBER(SEARCH('1Př1'!$A$33,N477)),MAX($M$2:M476)+1,0)</f>
        <v>475</v>
      </c>
      <c r="V477" s="325" t="s">
        <v>2399</v>
      </c>
      <c r="W477" t="str">
        <f>IFERROR(VLOOKUP(ROWS($W$3:W477),$U$3:$V$992,2,0),"")</f>
        <v>Tvarování a zpracování plochého skla</v>
      </c>
      <c r="X477">
        <f>IF(ISNUMBER(SEARCH('1Př1'!$A$34,N477)),MAX($M$2:M476)+1,0)</f>
        <v>475</v>
      </c>
      <c r="Y477" s="325" t="s">
        <v>2399</v>
      </c>
      <c r="Z477" t="str">
        <f>IFERROR(VLOOKUP(ROWS($Z$3:Z477),$X$3:$Y$992,2,0),"")</f>
        <v>Tvarování a zpracování plochého skla</v>
      </c>
    </row>
    <row r="478" spans="13:26">
      <c r="M478" s="324">
        <f>IF(ISNUMBER(SEARCH(ZAKL_DATA!$B$29,N478)),MAX($M$2:M477)+1,0)</f>
        <v>476</v>
      </c>
      <c r="N478" s="325" t="s">
        <v>2401</v>
      </c>
      <c r="O478" s="340" t="s">
        <v>2402</v>
      </c>
      <c r="Q478" s="327" t="str">
        <f>IFERROR(VLOOKUP(ROWS($Q$3:Q478),$M$3:$N$992,2,0),"")</f>
        <v>Výroba dutého skla</v>
      </c>
      <c r="R478">
        <f>IF(ISNUMBER(SEARCH('1Př1'!$A$32,N478)),MAX($M$2:M477)+1,0)</f>
        <v>476</v>
      </c>
      <c r="S478" s="325" t="s">
        <v>2401</v>
      </c>
      <c r="T478" t="str">
        <f>IFERROR(VLOOKUP(ROWS($T$3:T478),$R$3:$S$992,2,0),"")</f>
        <v>Výroba dutého skla</v>
      </c>
      <c r="U478">
        <f>IF(ISNUMBER(SEARCH('1Př1'!$A$33,N478)),MAX($M$2:M477)+1,0)</f>
        <v>476</v>
      </c>
      <c r="V478" s="325" t="s">
        <v>2401</v>
      </c>
      <c r="W478" t="str">
        <f>IFERROR(VLOOKUP(ROWS($W$3:W478),$U$3:$V$992,2,0),"")</f>
        <v>Výroba dutého skla</v>
      </c>
      <c r="X478">
        <f>IF(ISNUMBER(SEARCH('1Př1'!$A$34,N478)),MAX($M$2:M477)+1,0)</f>
        <v>476</v>
      </c>
      <c r="Y478" s="325" t="s">
        <v>2401</v>
      </c>
      <c r="Z478" t="str">
        <f>IFERROR(VLOOKUP(ROWS($Z$3:Z478),$X$3:$Y$992,2,0),"")</f>
        <v>Výroba dutého skla</v>
      </c>
    </row>
    <row r="479" spans="13:26">
      <c r="M479" s="324">
        <f>IF(ISNUMBER(SEARCH(ZAKL_DATA!$B$29,N479)),MAX($M$2:M478)+1,0)</f>
        <v>477</v>
      </c>
      <c r="N479" s="325" t="s">
        <v>2403</v>
      </c>
      <c r="O479" s="340" t="s">
        <v>2404</v>
      </c>
      <c r="Q479" s="327" t="str">
        <f>IFERROR(VLOOKUP(ROWS($Q$3:Q479),$M$3:$N$992,2,0),"")</f>
        <v>Výroba skleněných vláken</v>
      </c>
      <c r="R479">
        <f>IF(ISNUMBER(SEARCH('1Př1'!$A$32,N479)),MAX($M$2:M478)+1,0)</f>
        <v>477</v>
      </c>
      <c r="S479" s="325" t="s">
        <v>2403</v>
      </c>
      <c r="T479" t="str">
        <f>IFERROR(VLOOKUP(ROWS($T$3:T479),$R$3:$S$992,2,0),"")</f>
        <v>Výroba skleněných vláken</v>
      </c>
      <c r="U479">
        <f>IF(ISNUMBER(SEARCH('1Př1'!$A$33,N479)),MAX($M$2:M478)+1,0)</f>
        <v>477</v>
      </c>
      <c r="V479" s="325" t="s">
        <v>2403</v>
      </c>
      <c r="W479" t="str">
        <f>IFERROR(VLOOKUP(ROWS($W$3:W479),$U$3:$V$992,2,0),"")</f>
        <v>Výroba skleněných vláken</v>
      </c>
      <c r="X479">
        <f>IF(ISNUMBER(SEARCH('1Př1'!$A$34,N479)),MAX($M$2:M478)+1,0)</f>
        <v>477</v>
      </c>
      <c r="Y479" s="325" t="s">
        <v>2403</v>
      </c>
      <c r="Z479" t="str">
        <f>IFERROR(VLOOKUP(ROWS($Z$3:Z479),$X$3:$Y$992,2,0),"")</f>
        <v>Výroba skleněných vláken</v>
      </c>
    </row>
    <row r="480" spans="13:26">
      <c r="M480" s="324">
        <f>IF(ISNUMBER(SEARCH(ZAKL_DATA!$B$29,N480)),MAX($M$2:M479)+1,0)</f>
        <v>478</v>
      </c>
      <c r="N480" s="325" t="s">
        <v>2405</v>
      </c>
      <c r="O480" s="340" t="s">
        <v>2406</v>
      </c>
      <c r="Q480" s="327" t="str">
        <f>IFERROR(VLOOKUP(ROWS($Q$3:Q480),$M$3:$N$992,2,0),"")</f>
        <v>Výroba a zpracování ostatního skla vč. technického</v>
      </c>
      <c r="R480">
        <f>IF(ISNUMBER(SEARCH('1Př1'!$A$32,N480)),MAX($M$2:M479)+1,0)</f>
        <v>478</v>
      </c>
      <c r="S480" s="325" t="s">
        <v>2405</v>
      </c>
      <c r="T480" t="str">
        <f>IFERROR(VLOOKUP(ROWS($T$3:T480),$R$3:$S$992,2,0),"")</f>
        <v>Výroba a zpracování ostatního skla vč. technického</v>
      </c>
      <c r="U480">
        <f>IF(ISNUMBER(SEARCH('1Př1'!$A$33,N480)),MAX($M$2:M479)+1,0)</f>
        <v>478</v>
      </c>
      <c r="V480" s="325" t="s">
        <v>2405</v>
      </c>
      <c r="W480" t="str">
        <f>IFERROR(VLOOKUP(ROWS($W$3:W480),$U$3:$V$992,2,0),"")</f>
        <v>Výroba a zpracování ostatního skla vč. technického</v>
      </c>
      <c r="X480">
        <f>IF(ISNUMBER(SEARCH('1Př1'!$A$34,N480)),MAX($M$2:M479)+1,0)</f>
        <v>478</v>
      </c>
      <c r="Y480" s="325" t="s">
        <v>2405</v>
      </c>
      <c r="Z480" t="str">
        <f>IFERROR(VLOOKUP(ROWS($Z$3:Z480),$X$3:$Y$992,2,0),"")</f>
        <v>Výroba a zpracování ostatního skla vč. technického</v>
      </c>
    </row>
    <row r="481" spans="13:26">
      <c r="M481" s="324">
        <f>IF(ISNUMBER(SEARCH(ZAKL_DATA!$B$29,N481)),MAX($M$2:M480)+1,0)</f>
        <v>479</v>
      </c>
      <c r="N481" s="325" t="s">
        <v>2407</v>
      </c>
      <c r="O481" s="340" t="s">
        <v>2408</v>
      </c>
      <c r="Q481" s="327" t="str">
        <f>IFERROR(VLOOKUP(ROWS($Q$3:Q481),$M$3:$N$992,2,0),"")</f>
        <v>Výroba keramických obkládaček a dlaždic</v>
      </c>
      <c r="R481">
        <f>IF(ISNUMBER(SEARCH('1Př1'!$A$32,N481)),MAX($M$2:M480)+1,0)</f>
        <v>479</v>
      </c>
      <c r="S481" s="325" t="s">
        <v>2407</v>
      </c>
      <c r="T481" t="str">
        <f>IFERROR(VLOOKUP(ROWS($T$3:T481),$R$3:$S$992,2,0),"")</f>
        <v>Výroba keramických obkládaček a dlaždic</v>
      </c>
      <c r="U481">
        <f>IF(ISNUMBER(SEARCH('1Př1'!$A$33,N481)),MAX($M$2:M480)+1,0)</f>
        <v>479</v>
      </c>
      <c r="V481" s="325" t="s">
        <v>2407</v>
      </c>
      <c r="W481" t="str">
        <f>IFERROR(VLOOKUP(ROWS($W$3:W481),$U$3:$V$992,2,0),"")</f>
        <v>Výroba keramických obkládaček a dlaždic</v>
      </c>
      <c r="X481">
        <f>IF(ISNUMBER(SEARCH('1Př1'!$A$34,N481)),MAX($M$2:M480)+1,0)</f>
        <v>479</v>
      </c>
      <c r="Y481" s="325" t="s">
        <v>2407</v>
      </c>
      <c r="Z481" t="str">
        <f>IFERROR(VLOOKUP(ROWS($Z$3:Z481),$X$3:$Y$992,2,0),"")</f>
        <v>Výroba keramických obkládaček a dlaždic</v>
      </c>
    </row>
    <row r="482" spans="13:26">
      <c r="M482" s="324">
        <f>IF(ISNUMBER(SEARCH(ZAKL_DATA!$B$29,N482)),MAX($M$2:M481)+1,0)</f>
        <v>480</v>
      </c>
      <c r="N482" s="325" t="s">
        <v>2409</v>
      </c>
      <c r="O482" s="340" t="s">
        <v>2410</v>
      </c>
      <c r="Q482" s="327" t="str">
        <f>IFERROR(VLOOKUP(ROWS($Q$3:Q482),$M$3:$N$992,2,0),"")</f>
        <v>Výroba pálených zdicích materiálů, tašek, dlaždic a podobných výrobků</v>
      </c>
      <c r="R482">
        <f>IF(ISNUMBER(SEARCH('1Př1'!$A$32,N482)),MAX($M$2:M481)+1,0)</f>
        <v>480</v>
      </c>
      <c r="S482" s="325" t="s">
        <v>2409</v>
      </c>
      <c r="T482" t="str">
        <f>IFERROR(VLOOKUP(ROWS($T$3:T482),$R$3:$S$992,2,0),"")</f>
        <v>Výroba pálených zdicích materiálů, tašek, dlaždic a podobných výrobků</v>
      </c>
      <c r="U482">
        <f>IF(ISNUMBER(SEARCH('1Př1'!$A$33,N482)),MAX($M$2:M481)+1,0)</f>
        <v>480</v>
      </c>
      <c r="V482" s="325" t="s">
        <v>2409</v>
      </c>
      <c r="W482" t="str">
        <f>IFERROR(VLOOKUP(ROWS($W$3:W482),$U$3:$V$992,2,0),"")</f>
        <v>Výroba pálených zdicích materiálů, tašek, dlaždic a podobných výrobků</v>
      </c>
      <c r="X482">
        <f>IF(ISNUMBER(SEARCH('1Př1'!$A$34,N482)),MAX($M$2:M481)+1,0)</f>
        <v>480</v>
      </c>
      <c r="Y482" s="325" t="s">
        <v>2409</v>
      </c>
      <c r="Z482" t="str">
        <f>IFERROR(VLOOKUP(ROWS($Z$3:Z482),$X$3:$Y$992,2,0),"")</f>
        <v>Výroba pálených zdicích materiálů, tašek, dlaždic a podobných výrobků</v>
      </c>
    </row>
    <row r="483" spans="13:26">
      <c r="M483" s="324">
        <f>IF(ISNUMBER(SEARCH(ZAKL_DATA!$B$29,N483)),MAX($M$2:M482)+1,0)</f>
        <v>481</v>
      </c>
      <c r="N483" s="325" t="s">
        <v>2411</v>
      </c>
      <c r="O483" s="340" t="s">
        <v>2412</v>
      </c>
      <c r="Q483" s="327" t="str">
        <f>IFERROR(VLOOKUP(ROWS($Q$3:Q483),$M$3:$N$992,2,0),"")</f>
        <v>Výroba keram.a porcelán.výrobků převážně pro domácnost a ozdob.předmětů</v>
      </c>
      <c r="R483">
        <f>IF(ISNUMBER(SEARCH('1Př1'!$A$32,N483)),MAX($M$2:M482)+1,0)</f>
        <v>481</v>
      </c>
      <c r="S483" s="325" t="s">
        <v>2411</v>
      </c>
      <c r="T483" t="str">
        <f>IFERROR(VLOOKUP(ROWS($T$3:T483),$R$3:$S$992,2,0),"")</f>
        <v>Výroba keram.a porcelán.výrobků převážně pro domácnost a ozdob.předmětů</v>
      </c>
      <c r="U483">
        <f>IF(ISNUMBER(SEARCH('1Př1'!$A$33,N483)),MAX($M$2:M482)+1,0)</f>
        <v>481</v>
      </c>
      <c r="V483" s="325" t="s">
        <v>2411</v>
      </c>
      <c r="W483" t="str">
        <f>IFERROR(VLOOKUP(ROWS($W$3:W483),$U$3:$V$992,2,0),"")</f>
        <v>Výroba keram.a porcelán.výrobků převážně pro domácnost a ozdob.předmětů</v>
      </c>
      <c r="X483">
        <f>IF(ISNUMBER(SEARCH('1Př1'!$A$34,N483)),MAX($M$2:M482)+1,0)</f>
        <v>481</v>
      </c>
      <c r="Y483" s="325" t="s">
        <v>2411</v>
      </c>
      <c r="Z483" t="str">
        <f>IFERROR(VLOOKUP(ROWS($Z$3:Z483),$X$3:$Y$992,2,0),"")</f>
        <v>Výroba keram.a porcelán.výrobků převážně pro domácnost a ozdob.předmětů</v>
      </c>
    </row>
    <row r="484" spans="13:26">
      <c r="M484" s="324">
        <f>IF(ISNUMBER(SEARCH(ZAKL_DATA!$B$29,N484)),MAX($M$2:M483)+1,0)</f>
        <v>482</v>
      </c>
      <c r="N484" s="325" t="s">
        <v>2413</v>
      </c>
      <c r="O484" s="340" t="s">
        <v>2414</v>
      </c>
      <c r="Q484" s="327" t="str">
        <f>IFERROR(VLOOKUP(ROWS($Q$3:Q484),$M$3:$N$992,2,0),"")</f>
        <v>Výroba keramických sanitárních výrobků</v>
      </c>
      <c r="R484">
        <f>IF(ISNUMBER(SEARCH('1Př1'!$A$32,N484)),MAX($M$2:M483)+1,0)</f>
        <v>482</v>
      </c>
      <c r="S484" s="325" t="s">
        <v>2413</v>
      </c>
      <c r="T484" t="str">
        <f>IFERROR(VLOOKUP(ROWS($T$3:T484),$R$3:$S$992,2,0),"")</f>
        <v>Výroba keramických sanitárních výrobků</v>
      </c>
      <c r="U484">
        <f>IF(ISNUMBER(SEARCH('1Př1'!$A$33,N484)),MAX($M$2:M483)+1,0)</f>
        <v>482</v>
      </c>
      <c r="V484" s="325" t="s">
        <v>2413</v>
      </c>
      <c r="W484" t="str">
        <f>IFERROR(VLOOKUP(ROWS($W$3:W484),$U$3:$V$992,2,0),"")</f>
        <v>Výroba keramických sanitárních výrobků</v>
      </c>
      <c r="X484">
        <f>IF(ISNUMBER(SEARCH('1Př1'!$A$34,N484)),MAX($M$2:M483)+1,0)</f>
        <v>482</v>
      </c>
      <c r="Y484" s="325" t="s">
        <v>2413</v>
      </c>
      <c r="Z484" t="str">
        <f>IFERROR(VLOOKUP(ROWS($Z$3:Z484),$X$3:$Y$992,2,0),"")</f>
        <v>Výroba keramických sanitárních výrobků</v>
      </c>
    </row>
    <row r="485" spans="13:26">
      <c r="M485" s="324">
        <f>IF(ISNUMBER(SEARCH(ZAKL_DATA!$B$29,N485)),MAX($M$2:M484)+1,0)</f>
        <v>483</v>
      </c>
      <c r="N485" s="325" t="s">
        <v>2415</v>
      </c>
      <c r="O485" s="340" t="s">
        <v>2416</v>
      </c>
      <c r="Q485" s="327" t="str">
        <f>IFERROR(VLOOKUP(ROWS($Q$3:Q485),$M$3:$N$992,2,0),"")</f>
        <v>Výroba keramických izolátorů a izolačního příslušenství</v>
      </c>
      <c r="R485">
        <f>IF(ISNUMBER(SEARCH('1Př1'!$A$32,N485)),MAX($M$2:M484)+1,0)</f>
        <v>483</v>
      </c>
      <c r="S485" s="325" t="s">
        <v>2415</v>
      </c>
      <c r="T485" t="str">
        <f>IFERROR(VLOOKUP(ROWS($T$3:T485),$R$3:$S$992,2,0),"")</f>
        <v>Výroba keramických izolátorů a izolačního příslušenství</v>
      </c>
      <c r="U485">
        <f>IF(ISNUMBER(SEARCH('1Př1'!$A$33,N485)),MAX($M$2:M484)+1,0)</f>
        <v>483</v>
      </c>
      <c r="V485" s="325" t="s">
        <v>2415</v>
      </c>
      <c r="W485" t="str">
        <f>IFERROR(VLOOKUP(ROWS($W$3:W485),$U$3:$V$992,2,0),"")</f>
        <v>Výroba keramických izolátorů a izolačního příslušenství</v>
      </c>
      <c r="X485">
        <f>IF(ISNUMBER(SEARCH('1Př1'!$A$34,N485)),MAX($M$2:M484)+1,0)</f>
        <v>483</v>
      </c>
      <c r="Y485" s="325" t="s">
        <v>2415</v>
      </c>
      <c r="Z485" t="str">
        <f>IFERROR(VLOOKUP(ROWS($Z$3:Z485),$X$3:$Y$992,2,0),"")</f>
        <v>Výroba keramických izolátorů a izolačního příslušenství</v>
      </c>
    </row>
    <row r="486" spans="13:26">
      <c r="M486" s="324">
        <f>IF(ISNUMBER(SEARCH(ZAKL_DATA!$B$29,N486)),MAX($M$2:M485)+1,0)</f>
        <v>484</v>
      </c>
      <c r="N486" s="325" t="s">
        <v>2417</v>
      </c>
      <c r="O486" s="340" t="s">
        <v>2418</v>
      </c>
      <c r="Q486" s="327" t="str">
        <f>IFERROR(VLOOKUP(ROWS($Q$3:Q486),$M$3:$N$992,2,0),"")</f>
        <v>Výroba ostatních technických keramických výrobků</v>
      </c>
      <c r="R486">
        <f>IF(ISNUMBER(SEARCH('1Př1'!$A$32,N486)),MAX($M$2:M485)+1,0)</f>
        <v>484</v>
      </c>
      <c r="S486" s="325" t="s">
        <v>2417</v>
      </c>
      <c r="T486" t="str">
        <f>IFERROR(VLOOKUP(ROWS($T$3:T486),$R$3:$S$992,2,0),"")</f>
        <v>Výroba ostatních technických keramických výrobků</v>
      </c>
      <c r="U486">
        <f>IF(ISNUMBER(SEARCH('1Př1'!$A$33,N486)),MAX($M$2:M485)+1,0)</f>
        <v>484</v>
      </c>
      <c r="V486" s="325" t="s">
        <v>2417</v>
      </c>
      <c r="W486" t="str">
        <f>IFERROR(VLOOKUP(ROWS($W$3:W486),$U$3:$V$992,2,0),"")</f>
        <v>Výroba ostatních technických keramických výrobků</v>
      </c>
      <c r="X486">
        <f>IF(ISNUMBER(SEARCH('1Př1'!$A$34,N486)),MAX($M$2:M485)+1,0)</f>
        <v>484</v>
      </c>
      <c r="Y486" s="325" t="s">
        <v>2417</v>
      </c>
      <c r="Z486" t="str">
        <f>IFERROR(VLOOKUP(ROWS($Z$3:Z486),$X$3:$Y$992,2,0),"")</f>
        <v>Výroba ostatních technických keramických výrobků</v>
      </c>
    </row>
    <row r="487" spans="13:26">
      <c r="M487" s="324">
        <f>IF(ISNUMBER(SEARCH(ZAKL_DATA!$B$29,N487)),MAX($M$2:M486)+1,0)</f>
        <v>485</v>
      </c>
      <c r="N487" s="325" t="s">
        <v>2419</v>
      </c>
      <c r="O487" s="340" t="s">
        <v>2420</v>
      </c>
      <c r="Q487" s="327" t="str">
        <f>IFERROR(VLOOKUP(ROWS($Q$3:Q487),$M$3:$N$992,2,0),"")</f>
        <v>Výroba ostatních keramických výrobků</v>
      </c>
      <c r="R487">
        <f>IF(ISNUMBER(SEARCH('1Př1'!$A$32,N487)),MAX($M$2:M486)+1,0)</f>
        <v>485</v>
      </c>
      <c r="S487" s="325" t="s">
        <v>2419</v>
      </c>
      <c r="T487" t="str">
        <f>IFERROR(VLOOKUP(ROWS($T$3:T487),$R$3:$S$992,2,0),"")</f>
        <v>Výroba ostatních keramických výrobků</v>
      </c>
      <c r="U487">
        <f>IF(ISNUMBER(SEARCH('1Př1'!$A$33,N487)),MAX($M$2:M486)+1,0)</f>
        <v>485</v>
      </c>
      <c r="V487" s="325" t="s">
        <v>2419</v>
      </c>
      <c r="W487" t="str">
        <f>IFERROR(VLOOKUP(ROWS($W$3:W487),$U$3:$V$992,2,0),"")</f>
        <v>Výroba ostatních keramických výrobků</v>
      </c>
      <c r="X487">
        <f>IF(ISNUMBER(SEARCH('1Př1'!$A$34,N487)),MAX($M$2:M486)+1,0)</f>
        <v>485</v>
      </c>
      <c r="Y487" s="325" t="s">
        <v>2419</v>
      </c>
      <c r="Z487" t="str">
        <f>IFERROR(VLOOKUP(ROWS($Z$3:Z487),$X$3:$Y$992,2,0),"")</f>
        <v>Výroba ostatních keramických výrobků</v>
      </c>
    </row>
    <row r="488" spans="13:26">
      <c r="M488" s="324">
        <f>IF(ISNUMBER(SEARCH(ZAKL_DATA!$B$29,N488)),MAX($M$2:M487)+1,0)</f>
        <v>486</v>
      </c>
      <c r="N488" s="325" t="s">
        <v>2421</v>
      </c>
      <c r="O488" s="340" t="s">
        <v>2422</v>
      </c>
      <c r="Q488" s="327" t="str">
        <f>IFERROR(VLOOKUP(ROWS($Q$3:Q488),$M$3:$N$992,2,0),"")</f>
        <v>Výroba cementu</v>
      </c>
      <c r="R488">
        <f>IF(ISNUMBER(SEARCH('1Př1'!$A$32,N488)),MAX($M$2:M487)+1,0)</f>
        <v>486</v>
      </c>
      <c r="S488" s="325" t="s">
        <v>2421</v>
      </c>
      <c r="T488" t="str">
        <f>IFERROR(VLOOKUP(ROWS($T$3:T488),$R$3:$S$992,2,0),"")</f>
        <v>Výroba cementu</v>
      </c>
      <c r="U488">
        <f>IF(ISNUMBER(SEARCH('1Př1'!$A$33,N488)),MAX($M$2:M487)+1,0)</f>
        <v>486</v>
      </c>
      <c r="V488" s="325" t="s">
        <v>2421</v>
      </c>
      <c r="W488" t="str">
        <f>IFERROR(VLOOKUP(ROWS($W$3:W488),$U$3:$V$992,2,0),"")</f>
        <v>Výroba cementu</v>
      </c>
      <c r="X488">
        <f>IF(ISNUMBER(SEARCH('1Př1'!$A$34,N488)),MAX($M$2:M487)+1,0)</f>
        <v>486</v>
      </c>
      <c r="Y488" s="325" t="s">
        <v>2421</v>
      </c>
      <c r="Z488" t="str">
        <f>IFERROR(VLOOKUP(ROWS($Z$3:Z488),$X$3:$Y$992,2,0),"")</f>
        <v>Výroba cementu</v>
      </c>
    </row>
    <row r="489" spans="13:26">
      <c r="M489" s="324">
        <f>IF(ISNUMBER(SEARCH(ZAKL_DATA!$B$29,N489)),MAX($M$2:M488)+1,0)</f>
        <v>487</v>
      </c>
      <c r="N489" s="325" t="s">
        <v>2423</v>
      </c>
      <c r="O489" s="340" t="s">
        <v>2424</v>
      </c>
      <c r="Q489" s="327" t="str">
        <f>IFERROR(VLOOKUP(ROWS($Q$3:Q489),$M$3:$N$992,2,0),"")</f>
        <v>Výroba vápna a sádry</v>
      </c>
      <c r="R489">
        <f>IF(ISNUMBER(SEARCH('1Př1'!$A$32,N489)),MAX($M$2:M488)+1,0)</f>
        <v>487</v>
      </c>
      <c r="S489" s="325" t="s">
        <v>2423</v>
      </c>
      <c r="T489" t="str">
        <f>IFERROR(VLOOKUP(ROWS($T$3:T489),$R$3:$S$992,2,0),"")</f>
        <v>Výroba vápna a sádry</v>
      </c>
      <c r="U489">
        <f>IF(ISNUMBER(SEARCH('1Př1'!$A$33,N489)),MAX($M$2:M488)+1,0)</f>
        <v>487</v>
      </c>
      <c r="V489" s="325" t="s">
        <v>2423</v>
      </c>
      <c r="W489" t="str">
        <f>IFERROR(VLOOKUP(ROWS($W$3:W489),$U$3:$V$992,2,0),"")</f>
        <v>Výroba vápna a sádry</v>
      </c>
      <c r="X489">
        <f>IF(ISNUMBER(SEARCH('1Př1'!$A$34,N489)),MAX($M$2:M488)+1,0)</f>
        <v>487</v>
      </c>
      <c r="Y489" s="325" t="s">
        <v>2423</v>
      </c>
      <c r="Z489" t="str">
        <f>IFERROR(VLOOKUP(ROWS($Z$3:Z489),$X$3:$Y$992,2,0),"")</f>
        <v>Výroba vápna a sádry</v>
      </c>
    </row>
    <row r="490" spans="13:26">
      <c r="M490" s="324">
        <f>IF(ISNUMBER(SEARCH(ZAKL_DATA!$B$29,N490)),MAX($M$2:M489)+1,0)</f>
        <v>488</v>
      </c>
      <c r="N490" s="325" t="s">
        <v>2425</v>
      </c>
      <c r="O490" s="340" t="s">
        <v>2426</v>
      </c>
      <c r="Q490" s="327" t="str">
        <f>IFERROR(VLOOKUP(ROWS($Q$3:Q490),$M$3:$N$992,2,0),"")</f>
        <v>Výroba betonových výrobků pro stavební účely</v>
      </c>
      <c r="R490">
        <f>IF(ISNUMBER(SEARCH('1Př1'!$A$32,N490)),MAX($M$2:M489)+1,0)</f>
        <v>488</v>
      </c>
      <c r="S490" s="325" t="s">
        <v>2425</v>
      </c>
      <c r="T490" t="str">
        <f>IFERROR(VLOOKUP(ROWS($T$3:T490),$R$3:$S$992,2,0),"")</f>
        <v>Výroba betonových výrobků pro stavební účely</v>
      </c>
      <c r="U490">
        <f>IF(ISNUMBER(SEARCH('1Př1'!$A$33,N490)),MAX($M$2:M489)+1,0)</f>
        <v>488</v>
      </c>
      <c r="V490" s="325" t="s">
        <v>2425</v>
      </c>
      <c r="W490" t="str">
        <f>IFERROR(VLOOKUP(ROWS($W$3:W490),$U$3:$V$992,2,0),"")</f>
        <v>Výroba betonových výrobků pro stavební účely</v>
      </c>
      <c r="X490">
        <f>IF(ISNUMBER(SEARCH('1Př1'!$A$34,N490)),MAX($M$2:M489)+1,0)</f>
        <v>488</v>
      </c>
      <c r="Y490" s="325" t="s">
        <v>2425</v>
      </c>
      <c r="Z490" t="str">
        <f>IFERROR(VLOOKUP(ROWS($Z$3:Z490),$X$3:$Y$992,2,0),"")</f>
        <v>Výroba betonových výrobků pro stavební účely</v>
      </c>
    </row>
    <row r="491" spans="13:26">
      <c r="M491" s="324">
        <f>IF(ISNUMBER(SEARCH(ZAKL_DATA!$B$29,N491)),MAX($M$2:M490)+1,0)</f>
        <v>489</v>
      </c>
      <c r="N491" s="325" t="s">
        <v>2427</v>
      </c>
      <c r="O491" s="340" t="s">
        <v>2428</v>
      </c>
      <c r="Q491" s="327" t="str">
        <f>IFERROR(VLOOKUP(ROWS($Q$3:Q491),$M$3:$N$992,2,0),"")</f>
        <v>Výroba sádrových výrobků pro stavební účely</v>
      </c>
      <c r="R491">
        <f>IF(ISNUMBER(SEARCH('1Př1'!$A$32,N491)),MAX($M$2:M490)+1,0)</f>
        <v>489</v>
      </c>
      <c r="S491" s="325" t="s">
        <v>2427</v>
      </c>
      <c r="T491" t="str">
        <f>IFERROR(VLOOKUP(ROWS($T$3:T491),$R$3:$S$992,2,0),"")</f>
        <v>Výroba sádrových výrobků pro stavební účely</v>
      </c>
      <c r="U491">
        <f>IF(ISNUMBER(SEARCH('1Př1'!$A$33,N491)),MAX($M$2:M490)+1,0)</f>
        <v>489</v>
      </c>
      <c r="V491" s="325" t="s">
        <v>2427</v>
      </c>
      <c r="W491" t="str">
        <f>IFERROR(VLOOKUP(ROWS($W$3:W491),$U$3:$V$992,2,0),"")</f>
        <v>Výroba sádrových výrobků pro stavební účely</v>
      </c>
      <c r="X491">
        <f>IF(ISNUMBER(SEARCH('1Př1'!$A$34,N491)),MAX($M$2:M490)+1,0)</f>
        <v>489</v>
      </c>
      <c r="Y491" s="325" t="s">
        <v>2427</v>
      </c>
      <c r="Z491" t="str">
        <f>IFERROR(VLOOKUP(ROWS($Z$3:Z491),$X$3:$Y$992,2,0),"")</f>
        <v>Výroba sádrových výrobků pro stavební účely</v>
      </c>
    </row>
    <row r="492" spans="13:26">
      <c r="M492" s="324">
        <f>IF(ISNUMBER(SEARCH(ZAKL_DATA!$B$29,N492)),MAX($M$2:M491)+1,0)</f>
        <v>490</v>
      </c>
      <c r="N492" s="325" t="s">
        <v>2429</v>
      </c>
      <c r="O492" s="340" t="s">
        <v>2430</v>
      </c>
      <c r="Q492" s="327" t="str">
        <f>IFERROR(VLOOKUP(ROWS($Q$3:Q492),$M$3:$N$992,2,0),"")</f>
        <v>Výroba betonu připraveného k lití</v>
      </c>
      <c r="R492">
        <f>IF(ISNUMBER(SEARCH('1Př1'!$A$32,N492)),MAX($M$2:M491)+1,0)</f>
        <v>490</v>
      </c>
      <c r="S492" s="325" t="s">
        <v>2429</v>
      </c>
      <c r="T492" t="str">
        <f>IFERROR(VLOOKUP(ROWS($T$3:T492),$R$3:$S$992,2,0),"")</f>
        <v>Výroba betonu připraveného k lití</v>
      </c>
      <c r="U492">
        <f>IF(ISNUMBER(SEARCH('1Př1'!$A$33,N492)),MAX($M$2:M491)+1,0)</f>
        <v>490</v>
      </c>
      <c r="V492" s="325" t="s">
        <v>2429</v>
      </c>
      <c r="W492" t="str">
        <f>IFERROR(VLOOKUP(ROWS($W$3:W492),$U$3:$V$992,2,0),"")</f>
        <v>Výroba betonu připraveného k lití</v>
      </c>
      <c r="X492">
        <f>IF(ISNUMBER(SEARCH('1Př1'!$A$34,N492)),MAX($M$2:M491)+1,0)</f>
        <v>490</v>
      </c>
      <c r="Y492" s="325" t="s">
        <v>2429</v>
      </c>
      <c r="Z492" t="str">
        <f>IFERROR(VLOOKUP(ROWS($Z$3:Z492),$X$3:$Y$992,2,0),"")</f>
        <v>Výroba betonu připraveného k lití</v>
      </c>
    </row>
    <row r="493" spans="13:26">
      <c r="M493" s="324">
        <f>IF(ISNUMBER(SEARCH(ZAKL_DATA!$B$29,N493)),MAX($M$2:M492)+1,0)</f>
        <v>491</v>
      </c>
      <c r="N493" s="325" t="s">
        <v>2431</v>
      </c>
      <c r="O493" s="340" t="s">
        <v>2432</v>
      </c>
      <c r="Q493" s="327" t="str">
        <f>IFERROR(VLOOKUP(ROWS($Q$3:Q493),$M$3:$N$992,2,0),"")</f>
        <v>Výroba malt</v>
      </c>
      <c r="R493">
        <f>IF(ISNUMBER(SEARCH('1Př1'!$A$32,N493)),MAX($M$2:M492)+1,0)</f>
        <v>491</v>
      </c>
      <c r="S493" s="325" t="s">
        <v>2431</v>
      </c>
      <c r="T493" t="str">
        <f>IFERROR(VLOOKUP(ROWS($T$3:T493),$R$3:$S$992,2,0),"")</f>
        <v>Výroba malt</v>
      </c>
      <c r="U493">
        <f>IF(ISNUMBER(SEARCH('1Př1'!$A$33,N493)),MAX($M$2:M492)+1,0)</f>
        <v>491</v>
      </c>
      <c r="V493" s="325" t="s">
        <v>2431</v>
      </c>
      <c r="W493" t="str">
        <f>IFERROR(VLOOKUP(ROWS($W$3:W493),$U$3:$V$992,2,0),"")</f>
        <v>Výroba malt</v>
      </c>
      <c r="X493">
        <f>IF(ISNUMBER(SEARCH('1Př1'!$A$34,N493)),MAX($M$2:M492)+1,0)</f>
        <v>491</v>
      </c>
      <c r="Y493" s="325" t="s">
        <v>2431</v>
      </c>
      <c r="Z493" t="str">
        <f>IFERROR(VLOOKUP(ROWS($Z$3:Z493),$X$3:$Y$992,2,0),"")</f>
        <v>Výroba malt</v>
      </c>
    </row>
    <row r="494" spans="13:26">
      <c r="M494" s="324">
        <f>IF(ISNUMBER(SEARCH(ZAKL_DATA!$B$29,N494)),MAX($M$2:M493)+1,0)</f>
        <v>492</v>
      </c>
      <c r="N494" s="325" t="s">
        <v>2433</v>
      </c>
      <c r="O494" s="340" t="s">
        <v>2434</v>
      </c>
      <c r="Q494" s="327" t="str">
        <f>IFERROR(VLOOKUP(ROWS($Q$3:Q494),$M$3:$N$992,2,0),"")</f>
        <v>Výroba vláknitých cementů</v>
      </c>
      <c r="R494">
        <f>IF(ISNUMBER(SEARCH('1Př1'!$A$32,N494)),MAX($M$2:M493)+1,0)</f>
        <v>492</v>
      </c>
      <c r="S494" s="325" t="s">
        <v>2433</v>
      </c>
      <c r="T494" t="str">
        <f>IFERROR(VLOOKUP(ROWS($T$3:T494),$R$3:$S$992,2,0),"")</f>
        <v>Výroba vláknitých cementů</v>
      </c>
      <c r="U494">
        <f>IF(ISNUMBER(SEARCH('1Př1'!$A$33,N494)),MAX($M$2:M493)+1,0)</f>
        <v>492</v>
      </c>
      <c r="V494" s="325" t="s">
        <v>2433</v>
      </c>
      <c r="W494" t="str">
        <f>IFERROR(VLOOKUP(ROWS($W$3:W494),$U$3:$V$992,2,0),"")</f>
        <v>Výroba vláknitých cementů</v>
      </c>
      <c r="X494">
        <f>IF(ISNUMBER(SEARCH('1Př1'!$A$34,N494)),MAX($M$2:M493)+1,0)</f>
        <v>492</v>
      </c>
      <c r="Y494" s="325" t="s">
        <v>2433</v>
      </c>
      <c r="Z494" t="str">
        <f>IFERROR(VLOOKUP(ROWS($Z$3:Z494),$X$3:$Y$992,2,0),"")</f>
        <v>Výroba vláknitých cementů</v>
      </c>
    </row>
    <row r="495" spans="13:26">
      <c r="M495" s="324">
        <f>IF(ISNUMBER(SEARCH(ZAKL_DATA!$B$29,N495)),MAX($M$2:M494)+1,0)</f>
        <v>493</v>
      </c>
      <c r="N495" s="325" t="s">
        <v>2435</v>
      </c>
      <c r="O495" s="340" t="s">
        <v>2436</v>
      </c>
      <c r="Q495" s="327" t="str">
        <f>IFERROR(VLOOKUP(ROWS($Q$3:Q495),$M$3:$N$992,2,0),"")</f>
        <v>Výroba ostatních betonových, cementových a sádrových výrobků</v>
      </c>
      <c r="R495">
        <f>IF(ISNUMBER(SEARCH('1Př1'!$A$32,N495)),MAX($M$2:M494)+1,0)</f>
        <v>493</v>
      </c>
      <c r="S495" s="325" t="s">
        <v>2435</v>
      </c>
      <c r="T495" t="str">
        <f>IFERROR(VLOOKUP(ROWS($T$3:T495),$R$3:$S$992,2,0),"")</f>
        <v>Výroba ostatních betonových, cementových a sádrových výrobků</v>
      </c>
      <c r="U495">
        <f>IF(ISNUMBER(SEARCH('1Př1'!$A$33,N495)),MAX($M$2:M494)+1,0)</f>
        <v>493</v>
      </c>
      <c r="V495" s="325" t="s">
        <v>2435</v>
      </c>
      <c r="W495" t="str">
        <f>IFERROR(VLOOKUP(ROWS($W$3:W495),$U$3:$V$992,2,0),"")</f>
        <v>Výroba ostatních betonových, cementových a sádrových výrobků</v>
      </c>
      <c r="X495">
        <f>IF(ISNUMBER(SEARCH('1Př1'!$A$34,N495)),MAX($M$2:M494)+1,0)</f>
        <v>493</v>
      </c>
      <c r="Y495" s="325" t="s">
        <v>2435</v>
      </c>
      <c r="Z495" t="str">
        <f>IFERROR(VLOOKUP(ROWS($Z$3:Z495),$X$3:$Y$992,2,0),"")</f>
        <v>Výroba ostatních betonových, cementových a sádrových výrobků</v>
      </c>
    </row>
    <row r="496" spans="13:26">
      <c r="M496" s="324">
        <f>IF(ISNUMBER(SEARCH(ZAKL_DATA!$B$29,N496)),MAX($M$2:M495)+1,0)</f>
        <v>494</v>
      </c>
      <c r="N496" s="325" t="s">
        <v>2437</v>
      </c>
      <c r="O496" s="340" t="s">
        <v>2438</v>
      </c>
      <c r="Q496" s="327" t="str">
        <f>IFERROR(VLOOKUP(ROWS($Q$3:Q496),$M$3:$N$992,2,0),"")</f>
        <v>Výroba brusiv</v>
      </c>
      <c r="R496">
        <f>IF(ISNUMBER(SEARCH('1Př1'!$A$32,N496)),MAX($M$2:M495)+1,0)</f>
        <v>494</v>
      </c>
      <c r="S496" s="325" t="s">
        <v>2437</v>
      </c>
      <c r="T496" t="str">
        <f>IFERROR(VLOOKUP(ROWS($T$3:T496),$R$3:$S$992,2,0),"")</f>
        <v>Výroba brusiv</v>
      </c>
      <c r="U496">
        <f>IF(ISNUMBER(SEARCH('1Př1'!$A$33,N496)),MAX($M$2:M495)+1,0)</f>
        <v>494</v>
      </c>
      <c r="V496" s="325" t="s">
        <v>2437</v>
      </c>
      <c r="W496" t="str">
        <f>IFERROR(VLOOKUP(ROWS($W$3:W496),$U$3:$V$992,2,0),"")</f>
        <v>Výroba brusiv</v>
      </c>
      <c r="X496">
        <f>IF(ISNUMBER(SEARCH('1Př1'!$A$34,N496)),MAX($M$2:M495)+1,0)</f>
        <v>494</v>
      </c>
      <c r="Y496" s="325" t="s">
        <v>2437</v>
      </c>
      <c r="Z496" t="str">
        <f>IFERROR(VLOOKUP(ROWS($Z$3:Z496),$X$3:$Y$992,2,0),"")</f>
        <v>Výroba brusiv</v>
      </c>
    </row>
    <row r="497" spans="13:26">
      <c r="M497" s="324">
        <f>IF(ISNUMBER(SEARCH(ZAKL_DATA!$B$29,N497)),MAX($M$2:M496)+1,0)</f>
        <v>495</v>
      </c>
      <c r="N497" s="325" t="s">
        <v>2439</v>
      </c>
      <c r="O497" s="340" t="s">
        <v>2440</v>
      </c>
      <c r="Q497" s="327" t="str">
        <f>IFERROR(VLOOKUP(ROWS($Q$3:Q497),$M$3:$N$992,2,0),"")</f>
        <v>Výroba ostatních nekovových minerálních výrobků j.n.</v>
      </c>
      <c r="R497">
        <f>IF(ISNUMBER(SEARCH('1Př1'!$A$32,N497)),MAX($M$2:M496)+1,0)</f>
        <v>495</v>
      </c>
      <c r="S497" s="325" t="s">
        <v>2439</v>
      </c>
      <c r="T497" t="str">
        <f>IFERROR(VLOOKUP(ROWS($T$3:T497),$R$3:$S$992,2,0),"")</f>
        <v>Výroba ostatních nekovových minerálních výrobků j.n.</v>
      </c>
      <c r="U497">
        <f>IF(ISNUMBER(SEARCH('1Př1'!$A$33,N497)),MAX($M$2:M496)+1,0)</f>
        <v>495</v>
      </c>
      <c r="V497" s="325" t="s">
        <v>2439</v>
      </c>
      <c r="W497" t="str">
        <f>IFERROR(VLOOKUP(ROWS($W$3:W497),$U$3:$V$992,2,0),"")</f>
        <v>Výroba ostatních nekovových minerálních výrobků j.n.</v>
      </c>
      <c r="X497">
        <f>IF(ISNUMBER(SEARCH('1Př1'!$A$34,N497)),MAX($M$2:M496)+1,0)</f>
        <v>495</v>
      </c>
      <c r="Y497" s="325" t="s">
        <v>2439</v>
      </c>
      <c r="Z497" t="str">
        <f>IFERROR(VLOOKUP(ROWS($Z$3:Z497),$X$3:$Y$992,2,0),"")</f>
        <v>Výroba ostatních nekovových minerálních výrobků j.n.</v>
      </c>
    </row>
    <row r="498" spans="13:26">
      <c r="M498" s="324">
        <f>IF(ISNUMBER(SEARCH(ZAKL_DATA!$B$29,N498)),MAX($M$2:M497)+1,0)</f>
        <v>496</v>
      </c>
      <c r="N498" s="325" t="s">
        <v>2441</v>
      </c>
      <c r="O498" s="340" t="s">
        <v>2442</v>
      </c>
      <c r="Q498" s="327" t="str">
        <f>IFERROR(VLOOKUP(ROWS($Q$3:Q498),$M$3:$N$992,2,0),"")</f>
        <v>Tažení tyčí za studena</v>
      </c>
      <c r="R498">
        <f>IF(ISNUMBER(SEARCH('1Př1'!$A$32,N498)),MAX($M$2:M497)+1,0)</f>
        <v>496</v>
      </c>
      <c r="S498" s="325" t="s">
        <v>2441</v>
      </c>
      <c r="T498" t="str">
        <f>IFERROR(VLOOKUP(ROWS($T$3:T498),$R$3:$S$992,2,0),"")</f>
        <v>Tažení tyčí za studena</v>
      </c>
      <c r="U498">
        <f>IF(ISNUMBER(SEARCH('1Př1'!$A$33,N498)),MAX($M$2:M497)+1,0)</f>
        <v>496</v>
      </c>
      <c r="V498" s="325" t="s">
        <v>2441</v>
      </c>
      <c r="W498" t="str">
        <f>IFERROR(VLOOKUP(ROWS($W$3:W498),$U$3:$V$992,2,0),"")</f>
        <v>Tažení tyčí za studena</v>
      </c>
      <c r="X498">
        <f>IF(ISNUMBER(SEARCH('1Př1'!$A$34,N498)),MAX($M$2:M497)+1,0)</f>
        <v>496</v>
      </c>
      <c r="Y498" s="325" t="s">
        <v>2441</v>
      </c>
      <c r="Z498" t="str">
        <f>IFERROR(VLOOKUP(ROWS($Z$3:Z498),$X$3:$Y$992,2,0),"")</f>
        <v>Tažení tyčí za studena</v>
      </c>
    </row>
    <row r="499" spans="13:26">
      <c r="M499" s="324">
        <f>IF(ISNUMBER(SEARCH(ZAKL_DATA!$B$29,N499)),MAX($M$2:M498)+1,0)</f>
        <v>497</v>
      </c>
      <c r="N499" s="325" t="s">
        <v>2443</v>
      </c>
      <c r="O499" s="340" t="s">
        <v>2444</v>
      </c>
      <c r="Q499" s="327" t="str">
        <f>IFERROR(VLOOKUP(ROWS($Q$3:Q499),$M$3:$N$992,2,0),"")</f>
        <v>Válcování ocelových úzkých pásů za studena</v>
      </c>
      <c r="R499">
        <f>IF(ISNUMBER(SEARCH('1Př1'!$A$32,N499)),MAX($M$2:M498)+1,0)</f>
        <v>497</v>
      </c>
      <c r="S499" s="325" t="s">
        <v>2443</v>
      </c>
      <c r="T499" t="str">
        <f>IFERROR(VLOOKUP(ROWS($T$3:T499),$R$3:$S$992,2,0),"")</f>
        <v>Válcování ocelových úzkých pásů za studena</v>
      </c>
      <c r="U499">
        <f>IF(ISNUMBER(SEARCH('1Př1'!$A$33,N499)),MAX($M$2:M498)+1,0)</f>
        <v>497</v>
      </c>
      <c r="V499" s="325" t="s">
        <v>2443</v>
      </c>
      <c r="W499" t="str">
        <f>IFERROR(VLOOKUP(ROWS($W$3:W499),$U$3:$V$992,2,0),"")</f>
        <v>Válcování ocelových úzkých pásů za studena</v>
      </c>
      <c r="X499">
        <f>IF(ISNUMBER(SEARCH('1Př1'!$A$34,N499)),MAX($M$2:M498)+1,0)</f>
        <v>497</v>
      </c>
      <c r="Y499" s="325" t="s">
        <v>2443</v>
      </c>
      <c r="Z499" t="str">
        <f>IFERROR(VLOOKUP(ROWS($Z$3:Z499),$X$3:$Y$992,2,0),"")</f>
        <v>Válcování ocelových úzkých pásů za studena</v>
      </c>
    </row>
    <row r="500" spans="13:26">
      <c r="M500" s="324">
        <f>IF(ISNUMBER(SEARCH(ZAKL_DATA!$B$29,N500)),MAX($M$2:M499)+1,0)</f>
        <v>498</v>
      </c>
      <c r="N500" s="325" t="s">
        <v>2445</v>
      </c>
      <c r="O500" s="340" t="s">
        <v>2446</v>
      </c>
      <c r="Q500" s="327" t="str">
        <f>IFERROR(VLOOKUP(ROWS($Q$3:Q500),$M$3:$N$992,2,0),"")</f>
        <v>Tváření ocelových profilů za studena</v>
      </c>
      <c r="R500">
        <f>IF(ISNUMBER(SEARCH('1Př1'!$A$32,N500)),MAX($M$2:M499)+1,0)</f>
        <v>498</v>
      </c>
      <c r="S500" s="325" t="s">
        <v>2445</v>
      </c>
      <c r="T500" t="str">
        <f>IFERROR(VLOOKUP(ROWS($T$3:T500),$R$3:$S$992,2,0),"")</f>
        <v>Tváření ocelových profilů za studena</v>
      </c>
      <c r="U500">
        <f>IF(ISNUMBER(SEARCH('1Př1'!$A$33,N500)),MAX($M$2:M499)+1,0)</f>
        <v>498</v>
      </c>
      <c r="V500" s="325" t="s">
        <v>2445</v>
      </c>
      <c r="W500" t="str">
        <f>IFERROR(VLOOKUP(ROWS($W$3:W500),$U$3:$V$992,2,0),"")</f>
        <v>Tváření ocelových profilů za studena</v>
      </c>
      <c r="X500">
        <f>IF(ISNUMBER(SEARCH('1Př1'!$A$34,N500)),MAX($M$2:M499)+1,0)</f>
        <v>498</v>
      </c>
      <c r="Y500" s="325" t="s">
        <v>2445</v>
      </c>
      <c r="Z500" t="str">
        <f>IFERROR(VLOOKUP(ROWS($Z$3:Z500),$X$3:$Y$992,2,0),"")</f>
        <v>Tváření ocelových profilů za studena</v>
      </c>
    </row>
    <row r="501" spans="13:26">
      <c r="M501" s="324">
        <f>IF(ISNUMBER(SEARCH(ZAKL_DATA!$B$29,N501)),MAX($M$2:M500)+1,0)</f>
        <v>499</v>
      </c>
      <c r="N501" s="325" t="s">
        <v>2447</v>
      </c>
      <c r="O501" s="340" t="s">
        <v>2448</v>
      </c>
      <c r="Q501" s="327" t="str">
        <f>IFERROR(VLOOKUP(ROWS($Q$3:Q501),$M$3:$N$992,2,0),"")</f>
        <v>Tažení ocelového drátu za studena</v>
      </c>
      <c r="R501">
        <f>IF(ISNUMBER(SEARCH('1Př1'!$A$32,N501)),MAX($M$2:M500)+1,0)</f>
        <v>499</v>
      </c>
      <c r="S501" s="325" t="s">
        <v>2447</v>
      </c>
      <c r="T501" t="str">
        <f>IFERROR(VLOOKUP(ROWS($T$3:T501),$R$3:$S$992,2,0),"")</f>
        <v>Tažení ocelového drátu za studena</v>
      </c>
      <c r="U501">
        <f>IF(ISNUMBER(SEARCH('1Př1'!$A$33,N501)),MAX($M$2:M500)+1,0)</f>
        <v>499</v>
      </c>
      <c r="V501" s="325" t="s">
        <v>2447</v>
      </c>
      <c r="W501" t="str">
        <f>IFERROR(VLOOKUP(ROWS($W$3:W501),$U$3:$V$992,2,0),"")</f>
        <v>Tažení ocelového drátu za studena</v>
      </c>
      <c r="X501">
        <f>IF(ISNUMBER(SEARCH('1Př1'!$A$34,N501)),MAX($M$2:M500)+1,0)</f>
        <v>499</v>
      </c>
      <c r="Y501" s="325" t="s">
        <v>2447</v>
      </c>
      <c r="Z501" t="str">
        <f>IFERROR(VLOOKUP(ROWS($Z$3:Z501),$X$3:$Y$992,2,0),"")</f>
        <v>Tažení ocelového drátu za studena</v>
      </c>
    </row>
    <row r="502" spans="13:26">
      <c r="M502" s="324">
        <f>IF(ISNUMBER(SEARCH(ZAKL_DATA!$B$29,N502)),MAX($M$2:M501)+1,0)</f>
        <v>500</v>
      </c>
      <c r="N502" s="325" t="s">
        <v>2449</v>
      </c>
      <c r="O502" s="340" t="s">
        <v>2450</v>
      </c>
      <c r="Q502" s="327" t="str">
        <f>IFERROR(VLOOKUP(ROWS($Q$3:Q502),$M$3:$N$992,2,0),"")</f>
        <v>Výroba a hutní zpracování drahých kovů</v>
      </c>
      <c r="R502">
        <f>IF(ISNUMBER(SEARCH('1Př1'!$A$32,N502)),MAX($M$2:M501)+1,0)</f>
        <v>500</v>
      </c>
      <c r="S502" s="325" t="s">
        <v>2449</v>
      </c>
      <c r="T502" t="str">
        <f>IFERROR(VLOOKUP(ROWS($T$3:T502),$R$3:$S$992,2,0),"")</f>
        <v>Výroba a hutní zpracování drahých kovů</v>
      </c>
      <c r="U502">
        <f>IF(ISNUMBER(SEARCH('1Př1'!$A$33,N502)),MAX($M$2:M501)+1,0)</f>
        <v>500</v>
      </c>
      <c r="V502" s="325" t="s">
        <v>2449</v>
      </c>
      <c r="W502" t="str">
        <f>IFERROR(VLOOKUP(ROWS($W$3:W502),$U$3:$V$992,2,0),"")</f>
        <v>Výroba a hutní zpracování drahých kovů</v>
      </c>
      <c r="X502">
        <f>IF(ISNUMBER(SEARCH('1Př1'!$A$34,N502)),MAX($M$2:M501)+1,0)</f>
        <v>500</v>
      </c>
      <c r="Y502" s="325" t="s">
        <v>2449</v>
      </c>
      <c r="Z502" t="str">
        <f>IFERROR(VLOOKUP(ROWS($Z$3:Z502),$X$3:$Y$992,2,0),"")</f>
        <v>Výroba a hutní zpracování drahých kovů</v>
      </c>
    </row>
    <row r="503" spans="13:26">
      <c r="M503" s="324">
        <f>IF(ISNUMBER(SEARCH(ZAKL_DATA!$B$29,N503)),MAX($M$2:M502)+1,0)</f>
        <v>501</v>
      </c>
      <c r="N503" s="325" t="s">
        <v>2451</v>
      </c>
      <c r="O503" s="340" t="s">
        <v>2452</v>
      </c>
      <c r="Q503" s="327" t="str">
        <f>IFERROR(VLOOKUP(ROWS($Q$3:Q503),$M$3:$N$992,2,0),"")</f>
        <v>Výroba a hutní zpracování hliníku</v>
      </c>
      <c r="R503">
        <f>IF(ISNUMBER(SEARCH('1Př1'!$A$32,N503)),MAX($M$2:M502)+1,0)</f>
        <v>501</v>
      </c>
      <c r="S503" s="325" t="s">
        <v>2451</v>
      </c>
      <c r="T503" t="str">
        <f>IFERROR(VLOOKUP(ROWS($T$3:T503),$R$3:$S$992,2,0),"")</f>
        <v>Výroba a hutní zpracování hliníku</v>
      </c>
      <c r="U503">
        <f>IF(ISNUMBER(SEARCH('1Př1'!$A$33,N503)),MAX($M$2:M502)+1,0)</f>
        <v>501</v>
      </c>
      <c r="V503" s="325" t="s">
        <v>2451</v>
      </c>
      <c r="W503" t="str">
        <f>IFERROR(VLOOKUP(ROWS($W$3:W503),$U$3:$V$992,2,0),"")</f>
        <v>Výroba a hutní zpracování hliníku</v>
      </c>
      <c r="X503">
        <f>IF(ISNUMBER(SEARCH('1Př1'!$A$34,N503)),MAX($M$2:M502)+1,0)</f>
        <v>501</v>
      </c>
      <c r="Y503" s="325" t="s">
        <v>2451</v>
      </c>
      <c r="Z503" t="str">
        <f>IFERROR(VLOOKUP(ROWS($Z$3:Z503),$X$3:$Y$992,2,0),"")</f>
        <v>Výroba a hutní zpracování hliníku</v>
      </c>
    </row>
    <row r="504" spans="13:26">
      <c r="M504" s="324">
        <f>IF(ISNUMBER(SEARCH(ZAKL_DATA!$B$29,N504)),MAX($M$2:M503)+1,0)</f>
        <v>502</v>
      </c>
      <c r="N504" s="325" t="s">
        <v>2453</v>
      </c>
      <c r="O504" s="340" t="s">
        <v>2454</v>
      </c>
      <c r="Q504" s="327" t="str">
        <f>IFERROR(VLOOKUP(ROWS($Q$3:Q504),$M$3:$N$992,2,0),"")</f>
        <v>Výroba a hutní zpracování olova, zinku a cínu</v>
      </c>
      <c r="R504">
        <f>IF(ISNUMBER(SEARCH('1Př1'!$A$32,N504)),MAX($M$2:M503)+1,0)</f>
        <v>502</v>
      </c>
      <c r="S504" s="325" t="s">
        <v>2453</v>
      </c>
      <c r="T504" t="str">
        <f>IFERROR(VLOOKUP(ROWS($T$3:T504),$R$3:$S$992,2,0),"")</f>
        <v>Výroba a hutní zpracování olova, zinku a cínu</v>
      </c>
      <c r="U504">
        <f>IF(ISNUMBER(SEARCH('1Př1'!$A$33,N504)),MAX($M$2:M503)+1,0)</f>
        <v>502</v>
      </c>
      <c r="V504" s="325" t="s">
        <v>2453</v>
      </c>
      <c r="W504" t="str">
        <f>IFERROR(VLOOKUP(ROWS($W$3:W504),$U$3:$V$992,2,0),"")</f>
        <v>Výroba a hutní zpracování olova, zinku a cínu</v>
      </c>
      <c r="X504">
        <f>IF(ISNUMBER(SEARCH('1Př1'!$A$34,N504)),MAX($M$2:M503)+1,0)</f>
        <v>502</v>
      </c>
      <c r="Y504" s="325" t="s">
        <v>2453</v>
      </c>
      <c r="Z504" t="str">
        <f>IFERROR(VLOOKUP(ROWS($Z$3:Z504),$X$3:$Y$992,2,0),"")</f>
        <v>Výroba a hutní zpracování olova, zinku a cínu</v>
      </c>
    </row>
    <row r="505" spans="13:26">
      <c r="M505" s="324">
        <f>IF(ISNUMBER(SEARCH(ZAKL_DATA!$B$29,N505)),MAX($M$2:M504)+1,0)</f>
        <v>503</v>
      </c>
      <c r="N505" s="325" t="s">
        <v>2455</v>
      </c>
      <c r="O505" s="340" t="s">
        <v>2456</v>
      </c>
      <c r="Q505" s="327" t="str">
        <f>IFERROR(VLOOKUP(ROWS($Q$3:Q505),$M$3:$N$992,2,0),"")</f>
        <v>Výroba a hutní zpracování mědi</v>
      </c>
      <c r="R505">
        <f>IF(ISNUMBER(SEARCH('1Př1'!$A$32,N505)),MAX($M$2:M504)+1,0)</f>
        <v>503</v>
      </c>
      <c r="S505" s="325" t="s">
        <v>2455</v>
      </c>
      <c r="T505" t="str">
        <f>IFERROR(VLOOKUP(ROWS($T$3:T505),$R$3:$S$992,2,0),"")</f>
        <v>Výroba a hutní zpracování mědi</v>
      </c>
      <c r="U505">
        <f>IF(ISNUMBER(SEARCH('1Př1'!$A$33,N505)),MAX($M$2:M504)+1,0)</f>
        <v>503</v>
      </c>
      <c r="V505" s="325" t="s">
        <v>2455</v>
      </c>
      <c r="W505" t="str">
        <f>IFERROR(VLOOKUP(ROWS($W$3:W505),$U$3:$V$992,2,0),"")</f>
        <v>Výroba a hutní zpracování mědi</v>
      </c>
      <c r="X505">
        <f>IF(ISNUMBER(SEARCH('1Př1'!$A$34,N505)),MAX($M$2:M504)+1,0)</f>
        <v>503</v>
      </c>
      <c r="Y505" s="325" t="s">
        <v>2455</v>
      </c>
      <c r="Z505" t="str">
        <f>IFERROR(VLOOKUP(ROWS($Z$3:Z505),$X$3:$Y$992,2,0),"")</f>
        <v>Výroba a hutní zpracování mědi</v>
      </c>
    </row>
    <row r="506" spans="13:26">
      <c r="M506" s="324">
        <f>IF(ISNUMBER(SEARCH(ZAKL_DATA!$B$29,N506)),MAX($M$2:M505)+1,0)</f>
        <v>504</v>
      </c>
      <c r="N506" s="325" t="s">
        <v>2457</v>
      </c>
      <c r="O506" s="340" t="s">
        <v>2458</v>
      </c>
      <c r="Q506" s="327" t="str">
        <f>IFERROR(VLOOKUP(ROWS($Q$3:Q506),$M$3:$N$992,2,0),"")</f>
        <v>Výroba a hutní zpracování ostatních neželezných kovů</v>
      </c>
      <c r="R506">
        <f>IF(ISNUMBER(SEARCH('1Př1'!$A$32,N506)),MAX($M$2:M505)+1,0)</f>
        <v>504</v>
      </c>
      <c r="S506" s="325" t="s">
        <v>2457</v>
      </c>
      <c r="T506" t="str">
        <f>IFERROR(VLOOKUP(ROWS($T$3:T506),$R$3:$S$992,2,0),"")</f>
        <v>Výroba a hutní zpracování ostatních neželezných kovů</v>
      </c>
      <c r="U506">
        <f>IF(ISNUMBER(SEARCH('1Př1'!$A$33,N506)),MAX($M$2:M505)+1,0)</f>
        <v>504</v>
      </c>
      <c r="V506" s="325" t="s">
        <v>2457</v>
      </c>
      <c r="W506" t="str">
        <f>IFERROR(VLOOKUP(ROWS($W$3:W506),$U$3:$V$992,2,0),"")</f>
        <v>Výroba a hutní zpracování ostatních neželezných kovů</v>
      </c>
      <c r="X506">
        <f>IF(ISNUMBER(SEARCH('1Př1'!$A$34,N506)),MAX($M$2:M505)+1,0)</f>
        <v>504</v>
      </c>
      <c r="Y506" s="325" t="s">
        <v>2457</v>
      </c>
      <c r="Z506" t="str">
        <f>IFERROR(VLOOKUP(ROWS($Z$3:Z506),$X$3:$Y$992,2,0),"")</f>
        <v>Výroba a hutní zpracování ostatních neželezných kovů</v>
      </c>
    </row>
    <row r="507" spans="13:26">
      <c r="M507" s="324">
        <f>IF(ISNUMBER(SEARCH(ZAKL_DATA!$B$29,N507)),MAX($M$2:M506)+1,0)</f>
        <v>505</v>
      </c>
      <c r="N507" s="325" t="s">
        <v>2459</v>
      </c>
      <c r="O507" s="340" t="s">
        <v>2460</v>
      </c>
      <c r="Q507" s="327" t="str">
        <f>IFERROR(VLOOKUP(ROWS($Q$3:Q507),$M$3:$N$992,2,0),"")</f>
        <v>Zpracování jaderného paliva</v>
      </c>
      <c r="R507">
        <f>IF(ISNUMBER(SEARCH('1Př1'!$A$32,N507)),MAX($M$2:M506)+1,0)</f>
        <v>505</v>
      </c>
      <c r="S507" s="325" t="s">
        <v>2459</v>
      </c>
      <c r="T507" t="str">
        <f>IFERROR(VLOOKUP(ROWS($T$3:T507),$R$3:$S$992,2,0),"")</f>
        <v>Zpracování jaderného paliva</v>
      </c>
      <c r="U507">
        <f>IF(ISNUMBER(SEARCH('1Př1'!$A$33,N507)),MAX($M$2:M506)+1,0)</f>
        <v>505</v>
      </c>
      <c r="V507" s="325" t="s">
        <v>2459</v>
      </c>
      <c r="W507" t="str">
        <f>IFERROR(VLOOKUP(ROWS($W$3:W507),$U$3:$V$992,2,0),"")</f>
        <v>Zpracování jaderného paliva</v>
      </c>
      <c r="X507">
        <f>IF(ISNUMBER(SEARCH('1Př1'!$A$34,N507)),MAX($M$2:M506)+1,0)</f>
        <v>505</v>
      </c>
      <c r="Y507" s="325" t="s">
        <v>2459</v>
      </c>
      <c r="Z507" t="str">
        <f>IFERROR(VLOOKUP(ROWS($Z$3:Z507),$X$3:$Y$992,2,0),"")</f>
        <v>Zpracování jaderného paliva</v>
      </c>
    </row>
    <row r="508" spans="13:26">
      <c r="M508" s="324">
        <f>IF(ISNUMBER(SEARCH(ZAKL_DATA!$B$29,N508)),MAX($M$2:M507)+1,0)</f>
        <v>506</v>
      </c>
      <c r="N508" s="325" t="s">
        <v>2461</v>
      </c>
      <c r="O508" s="340" t="s">
        <v>2462</v>
      </c>
      <c r="Q508" s="327" t="str">
        <f>IFERROR(VLOOKUP(ROWS($Q$3:Q508),$M$3:$N$992,2,0),"")</f>
        <v>Výroba odlitků z litiny</v>
      </c>
      <c r="R508">
        <f>IF(ISNUMBER(SEARCH('1Př1'!$A$32,N508)),MAX($M$2:M507)+1,0)</f>
        <v>506</v>
      </c>
      <c r="S508" s="325" t="s">
        <v>2461</v>
      </c>
      <c r="T508" t="str">
        <f>IFERROR(VLOOKUP(ROWS($T$3:T508),$R$3:$S$992,2,0),"")</f>
        <v>Výroba odlitků z litiny</v>
      </c>
      <c r="U508">
        <f>IF(ISNUMBER(SEARCH('1Př1'!$A$33,N508)),MAX($M$2:M507)+1,0)</f>
        <v>506</v>
      </c>
      <c r="V508" s="325" t="s">
        <v>2461</v>
      </c>
      <c r="W508" t="str">
        <f>IFERROR(VLOOKUP(ROWS($W$3:W508),$U$3:$V$992,2,0),"")</f>
        <v>Výroba odlitků z litiny</v>
      </c>
      <c r="X508">
        <f>IF(ISNUMBER(SEARCH('1Př1'!$A$34,N508)),MAX($M$2:M507)+1,0)</f>
        <v>506</v>
      </c>
      <c r="Y508" s="325" t="s">
        <v>2461</v>
      </c>
      <c r="Z508" t="str">
        <f>IFERROR(VLOOKUP(ROWS($Z$3:Z508),$X$3:$Y$992,2,0),"")</f>
        <v>Výroba odlitků z litiny</v>
      </c>
    </row>
    <row r="509" spans="13:26">
      <c r="M509" s="324">
        <f>IF(ISNUMBER(SEARCH(ZAKL_DATA!$B$29,N509)),MAX($M$2:M508)+1,0)</f>
        <v>507</v>
      </c>
      <c r="N509" s="325" t="s">
        <v>2463</v>
      </c>
      <c r="O509" s="340" t="s">
        <v>2464</v>
      </c>
      <c r="Q509" s="327" t="str">
        <f>IFERROR(VLOOKUP(ROWS($Q$3:Q509),$M$3:$N$992,2,0),"")</f>
        <v>Výroba odlitků z oceli</v>
      </c>
      <c r="R509">
        <f>IF(ISNUMBER(SEARCH('1Př1'!$A$32,N509)),MAX($M$2:M508)+1,0)</f>
        <v>507</v>
      </c>
      <c r="S509" s="325" t="s">
        <v>2463</v>
      </c>
      <c r="T509" t="str">
        <f>IFERROR(VLOOKUP(ROWS($T$3:T509),$R$3:$S$992,2,0),"")</f>
        <v>Výroba odlitků z oceli</v>
      </c>
      <c r="U509">
        <f>IF(ISNUMBER(SEARCH('1Př1'!$A$33,N509)),MAX($M$2:M508)+1,0)</f>
        <v>507</v>
      </c>
      <c r="V509" s="325" t="s">
        <v>2463</v>
      </c>
      <c r="W509" t="str">
        <f>IFERROR(VLOOKUP(ROWS($W$3:W509),$U$3:$V$992,2,0),"")</f>
        <v>Výroba odlitků z oceli</v>
      </c>
      <c r="X509">
        <f>IF(ISNUMBER(SEARCH('1Př1'!$A$34,N509)),MAX($M$2:M508)+1,0)</f>
        <v>507</v>
      </c>
      <c r="Y509" s="325" t="s">
        <v>2463</v>
      </c>
      <c r="Z509" t="str">
        <f>IFERROR(VLOOKUP(ROWS($Z$3:Z509),$X$3:$Y$992,2,0),"")</f>
        <v>Výroba odlitků z oceli</v>
      </c>
    </row>
    <row r="510" spans="13:26">
      <c r="M510" s="324">
        <f>IF(ISNUMBER(SEARCH(ZAKL_DATA!$B$29,N510)),MAX($M$2:M509)+1,0)</f>
        <v>508</v>
      </c>
      <c r="N510" s="325" t="s">
        <v>2465</v>
      </c>
      <c r="O510" s="340" t="s">
        <v>2466</v>
      </c>
      <c r="Q510" s="327" t="str">
        <f>IFERROR(VLOOKUP(ROWS($Q$3:Q510),$M$3:$N$992,2,0),"")</f>
        <v>Výroba odlitků z lehkých neželezných kovů</v>
      </c>
      <c r="R510">
        <f>IF(ISNUMBER(SEARCH('1Př1'!$A$32,N510)),MAX($M$2:M509)+1,0)</f>
        <v>508</v>
      </c>
      <c r="S510" s="325" t="s">
        <v>2465</v>
      </c>
      <c r="T510" t="str">
        <f>IFERROR(VLOOKUP(ROWS($T$3:T510),$R$3:$S$992,2,0),"")</f>
        <v>Výroba odlitků z lehkých neželezných kovů</v>
      </c>
      <c r="U510">
        <f>IF(ISNUMBER(SEARCH('1Př1'!$A$33,N510)),MAX($M$2:M509)+1,0)</f>
        <v>508</v>
      </c>
      <c r="V510" s="325" t="s">
        <v>2465</v>
      </c>
      <c r="W510" t="str">
        <f>IFERROR(VLOOKUP(ROWS($W$3:W510),$U$3:$V$992,2,0),"")</f>
        <v>Výroba odlitků z lehkých neželezných kovů</v>
      </c>
      <c r="X510">
        <f>IF(ISNUMBER(SEARCH('1Př1'!$A$34,N510)),MAX($M$2:M509)+1,0)</f>
        <v>508</v>
      </c>
      <c r="Y510" s="325" t="s">
        <v>2465</v>
      </c>
      <c r="Z510" t="str">
        <f>IFERROR(VLOOKUP(ROWS($Z$3:Z510),$X$3:$Y$992,2,0),"")</f>
        <v>Výroba odlitků z lehkých neželezných kovů</v>
      </c>
    </row>
    <row r="511" spans="13:26">
      <c r="M511" s="324">
        <f>IF(ISNUMBER(SEARCH(ZAKL_DATA!$B$29,N511)),MAX($M$2:M510)+1,0)</f>
        <v>509</v>
      </c>
      <c r="N511" s="325" t="s">
        <v>2467</v>
      </c>
      <c r="O511" s="340" t="s">
        <v>2468</v>
      </c>
      <c r="Q511" s="327" t="str">
        <f>IFERROR(VLOOKUP(ROWS($Q$3:Q511),$M$3:$N$992,2,0),"")</f>
        <v>Výroba odlitků z ostatních neželezných kovů</v>
      </c>
      <c r="R511">
        <f>IF(ISNUMBER(SEARCH('1Př1'!$A$32,N511)),MAX($M$2:M510)+1,0)</f>
        <v>509</v>
      </c>
      <c r="S511" s="325" t="s">
        <v>2467</v>
      </c>
      <c r="T511" t="str">
        <f>IFERROR(VLOOKUP(ROWS($T$3:T511),$R$3:$S$992,2,0),"")</f>
        <v>Výroba odlitků z ostatních neželezných kovů</v>
      </c>
      <c r="U511">
        <f>IF(ISNUMBER(SEARCH('1Př1'!$A$33,N511)),MAX($M$2:M510)+1,0)</f>
        <v>509</v>
      </c>
      <c r="V511" s="325" t="s">
        <v>2467</v>
      </c>
      <c r="W511" t="str">
        <f>IFERROR(VLOOKUP(ROWS($W$3:W511),$U$3:$V$992,2,0),"")</f>
        <v>Výroba odlitků z ostatních neželezných kovů</v>
      </c>
      <c r="X511">
        <f>IF(ISNUMBER(SEARCH('1Př1'!$A$34,N511)),MAX($M$2:M510)+1,0)</f>
        <v>509</v>
      </c>
      <c r="Y511" s="325" t="s">
        <v>2467</v>
      </c>
      <c r="Z511" t="str">
        <f>IFERROR(VLOOKUP(ROWS($Z$3:Z511),$X$3:$Y$992,2,0),"")</f>
        <v>Výroba odlitků z ostatních neželezných kovů</v>
      </c>
    </row>
    <row r="512" spans="13:26">
      <c r="M512" s="324">
        <f>IF(ISNUMBER(SEARCH(ZAKL_DATA!$B$29,N512)),MAX($M$2:M511)+1,0)</f>
        <v>510</v>
      </c>
      <c r="N512" s="325" t="s">
        <v>2469</v>
      </c>
      <c r="O512" s="340" t="s">
        <v>2470</v>
      </c>
      <c r="Q512" s="327" t="str">
        <f>IFERROR(VLOOKUP(ROWS($Q$3:Q512),$M$3:$N$992,2,0),"")</f>
        <v>Výroba kovových konstrukcí a jejich dílů</v>
      </c>
      <c r="R512">
        <f>IF(ISNUMBER(SEARCH('1Př1'!$A$32,N512)),MAX($M$2:M511)+1,0)</f>
        <v>510</v>
      </c>
      <c r="S512" s="325" t="s">
        <v>2469</v>
      </c>
      <c r="T512" t="str">
        <f>IFERROR(VLOOKUP(ROWS($T$3:T512),$R$3:$S$992,2,0),"")</f>
        <v>Výroba kovových konstrukcí a jejich dílů</v>
      </c>
      <c r="U512">
        <f>IF(ISNUMBER(SEARCH('1Př1'!$A$33,N512)),MAX($M$2:M511)+1,0)</f>
        <v>510</v>
      </c>
      <c r="V512" s="325" t="s">
        <v>2469</v>
      </c>
      <c r="W512" t="str">
        <f>IFERROR(VLOOKUP(ROWS($W$3:W512),$U$3:$V$992,2,0),"")</f>
        <v>Výroba kovových konstrukcí a jejich dílů</v>
      </c>
      <c r="X512">
        <f>IF(ISNUMBER(SEARCH('1Př1'!$A$34,N512)),MAX($M$2:M511)+1,0)</f>
        <v>510</v>
      </c>
      <c r="Y512" s="325" t="s">
        <v>2469</v>
      </c>
      <c r="Z512" t="str">
        <f>IFERROR(VLOOKUP(ROWS($Z$3:Z512),$X$3:$Y$992,2,0),"")</f>
        <v>Výroba kovových konstrukcí a jejich dílů</v>
      </c>
    </row>
    <row r="513" spans="13:26">
      <c r="M513" s="324">
        <f>IF(ISNUMBER(SEARCH(ZAKL_DATA!$B$29,N513)),MAX($M$2:M512)+1,0)</f>
        <v>511</v>
      </c>
      <c r="N513" s="325" t="s">
        <v>2471</v>
      </c>
      <c r="O513" s="340" t="s">
        <v>2472</v>
      </c>
      <c r="Q513" s="327" t="str">
        <f>IFERROR(VLOOKUP(ROWS($Q$3:Q513),$M$3:$N$992,2,0),"")</f>
        <v>Výroba kovových dveří a oken</v>
      </c>
      <c r="R513">
        <f>IF(ISNUMBER(SEARCH('1Př1'!$A$32,N513)),MAX($M$2:M512)+1,0)</f>
        <v>511</v>
      </c>
      <c r="S513" s="325" t="s">
        <v>2471</v>
      </c>
      <c r="T513" t="str">
        <f>IFERROR(VLOOKUP(ROWS($T$3:T513),$R$3:$S$992,2,0),"")</f>
        <v>Výroba kovových dveří a oken</v>
      </c>
      <c r="U513">
        <f>IF(ISNUMBER(SEARCH('1Př1'!$A$33,N513)),MAX($M$2:M512)+1,0)</f>
        <v>511</v>
      </c>
      <c r="V513" s="325" t="s">
        <v>2471</v>
      </c>
      <c r="W513" t="str">
        <f>IFERROR(VLOOKUP(ROWS($W$3:W513),$U$3:$V$992,2,0),"")</f>
        <v>Výroba kovových dveří a oken</v>
      </c>
      <c r="X513">
        <f>IF(ISNUMBER(SEARCH('1Př1'!$A$34,N513)),MAX($M$2:M512)+1,0)</f>
        <v>511</v>
      </c>
      <c r="Y513" s="325" t="s">
        <v>2471</v>
      </c>
      <c r="Z513" t="str">
        <f>IFERROR(VLOOKUP(ROWS($Z$3:Z513),$X$3:$Y$992,2,0),"")</f>
        <v>Výroba kovových dveří a oken</v>
      </c>
    </row>
    <row r="514" spans="13:26">
      <c r="M514" s="324">
        <f>IF(ISNUMBER(SEARCH(ZAKL_DATA!$B$29,N514)),MAX($M$2:M513)+1,0)</f>
        <v>512</v>
      </c>
      <c r="N514" s="325" t="s">
        <v>2473</v>
      </c>
      <c r="O514" s="340" t="s">
        <v>2474</v>
      </c>
      <c r="Q514" s="327" t="str">
        <f>IFERROR(VLOOKUP(ROWS($Q$3:Q514),$M$3:$N$992,2,0),"")</f>
        <v>Výroba radiátorů a kotlů k ústřednímu topení</v>
      </c>
      <c r="R514">
        <f>IF(ISNUMBER(SEARCH('1Př1'!$A$32,N514)),MAX($M$2:M513)+1,0)</f>
        <v>512</v>
      </c>
      <c r="S514" s="325" t="s">
        <v>2473</v>
      </c>
      <c r="T514" t="str">
        <f>IFERROR(VLOOKUP(ROWS($T$3:T514),$R$3:$S$992,2,0),"")</f>
        <v>Výroba radiátorů a kotlů k ústřednímu topení</v>
      </c>
      <c r="U514">
        <f>IF(ISNUMBER(SEARCH('1Př1'!$A$33,N514)),MAX($M$2:M513)+1,0)</f>
        <v>512</v>
      </c>
      <c r="V514" s="325" t="s">
        <v>2473</v>
      </c>
      <c r="W514" t="str">
        <f>IFERROR(VLOOKUP(ROWS($W$3:W514),$U$3:$V$992,2,0),"")</f>
        <v>Výroba radiátorů a kotlů k ústřednímu topení</v>
      </c>
      <c r="X514">
        <f>IF(ISNUMBER(SEARCH('1Př1'!$A$34,N514)),MAX($M$2:M513)+1,0)</f>
        <v>512</v>
      </c>
      <c r="Y514" s="325" t="s">
        <v>2473</v>
      </c>
      <c r="Z514" t="str">
        <f>IFERROR(VLOOKUP(ROWS($Z$3:Z514),$X$3:$Y$992,2,0),"")</f>
        <v>Výroba radiátorů a kotlů k ústřednímu topení</v>
      </c>
    </row>
    <row r="515" spans="13:26">
      <c r="M515" s="324">
        <f>IF(ISNUMBER(SEARCH(ZAKL_DATA!$B$29,N515)),MAX($M$2:M514)+1,0)</f>
        <v>513</v>
      </c>
      <c r="N515" s="325" t="s">
        <v>2475</v>
      </c>
      <c r="O515" s="340" t="s">
        <v>2476</v>
      </c>
      <c r="Q515" s="327" t="str">
        <f>IFERROR(VLOOKUP(ROWS($Q$3:Q515),$M$3:$N$992,2,0),"")</f>
        <v>Výroba kovových nádrží a zásobníků</v>
      </c>
      <c r="R515">
        <f>IF(ISNUMBER(SEARCH('1Př1'!$A$32,N515)),MAX($M$2:M514)+1,0)</f>
        <v>513</v>
      </c>
      <c r="S515" s="325" t="s">
        <v>2475</v>
      </c>
      <c r="T515" t="str">
        <f>IFERROR(VLOOKUP(ROWS($T$3:T515),$R$3:$S$992,2,0),"")</f>
        <v>Výroba kovových nádrží a zásobníků</v>
      </c>
      <c r="U515">
        <f>IF(ISNUMBER(SEARCH('1Př1'!$A$33,N515)),MAX($M$2:M514)+1,0)</f>
        <v>513</v>
      </c>
      <c r="V515" s="325" t="s">
        <v>2475</v>
      </c>
      <c r="W515" t="str">
        <f>IFERROR(VLOOKUP(ROWS($W$3:W515),$U$3:$V$992,2,0),"")</f>
        <v>Výroba kovových nádrží a zásobníků</v>
      </c>
      <c r="X515">
        <f>IF(ISNUMBER(SEARCH('1Př1'!$A$34,N515)),MAX($M$2:M514)+1,0)</f>
        <v>513</v>
      </c>
      <c r="Y515" s="325" t="s">
        <v>2475</v>
      </c>
      <c r="Z515" t="str">
        <f>IFERROR(VLOOKUP(ROWS($Z$3:Z515),$X$3:$Y$992,2,0),"")</f>
        <v>Výroba kovových nádrží a zásobníků</v>
      </c>
    </row>
    <row r="516" spans="13:26">
      <c r="M516" s="324">
        <f>IF(ISNUMBER(SEARCH(ZAKL_DATA!$B$29,N516)),MAX($M$2:M515)+1,0)</f>
        <v>514</v>
      </c>
      <c r="N516" s="325" t="s">
        <v>2477</v>
      </c>
      <c r="O516" s="340" t="s">
        <v>2478</v>
      </c>
      <c r="Q516" s="327" t="str">
        <f>IFERROR(VLOOKUP(ROWS($Q$3:Q516),$M$3:$N$992,2,0),"")</f>
        <v>Povrchová úprava a zušlechťování kovů</v>
      </c>
      <c r="R516">
        <f>IF(ISNUMBER(SEARCH('1Př1'!$A$32,N516)),MAX($M$2:M515)+1,0)</f>
        <v>514</v>
      </c>
      <c r="S516" s="325" t="s">
        <v>2477</v>
      </c>
      <c r="T516" t="str">
        <f>IFERROR(VLOOKUP(ROWS($T$3:T516),$R$3:$S$992,2,0),"")</f>
        <v>Povrchová úprava a zušlechťování kovů</v>
      </c>
      <c r="U516">
        <f>IF(ISNUMBER(SEARCH('1Př1'!$A$33,N516)),MAX($M$2:M515)+1,0)</f>
        <v>514</v>
      </c>
      <c r="V516" s="325" t="s">
        <v>2477</v>
      </c>
      <c r="W516" t="str">
        <f>IFERROR(VLOOKUP(ROWS($W$3:W516),$U$3:$V$992,2,0),"")</f>
        <v>Povrchová úprava a zušlechťování kovů</v>
      </c>
      <c r="X516">
        <f>IF(ISNUMBER(SEARCH('1Př1'!$A$34,N516)),MAX($M$2:M515)+1,0)</f>
        <v>514</v>
      </c>
      <c r="Y516" s="325" t="s">
        <v>2477</v>
      </c>
      <c r="Z516" t="str">
        <f>IFERROR(VLOOKUP(ROWS($Z$3:Z516),$X$3:$Y$992,2,0),"")</f>
        <v>Povrchová úprava a zušlechťování kovů</v>
      </c>
    </row>
    <row r="517" spans="13:26">
      <c r="M517" s="324">
        <f>IF(ISNUMBER(SEARCH(ZAKL_DATA!$B$29,N517)),MAX($M$2:M516)+1,0)</f>
        <v>515</v>
      </c>
      <c r="N517" s="325" t="s">
        <v>2479</v>
      </c>
      <c r="O517" s="340" t="s">
        <v>2480</v>
      </c>
      <c r="Q517" s="327" t="str">
        <f>IFERROR(VLOOKUP(ROWS($Q$3:Q517),$M$3:$N$992,2,0),"")</f>
        <v>Obrábění</v>
      </c>
      <c r="R517">
        <f>IF(ISNUMBER(SEARCH('1Př1'!$A$32,N517)),MAX($M$2:M516)+1,0)</f>
        <v>515</v>
      </c>
      <c r="S517" s="325" t="s">
        <v>2479</v>
      </c>
      <c r="T517" t="str">
        <f>IFERROR(VLOOKUP(ROWS($T$3:T517),$R$3:$S$992,2,0),"")</f>
        <v>Obrábění</v>
      </c>
      <c r="U517">
        <f>IF(ISNUMBER(SEARCH('1Př1'!$A$33,N517)),MAX($M$2:M516)+1,0)</f>
        <v>515</v>
      </c>
      <c r="V517" s="325" t="s">
        <v>2479</v>
      </c>
      <c r="W517" t="str">
        <f>IFERROR(VLOOKUP(ROWS($W$3:W517),$U$3:$V$992,2,0),"")</f>
        <v>Obrábění</v>
      </c>
      <c r="X517">
        <f>IF(ISNUMBER(SEARCH('1Př1'!$A$34,N517)),MAX($M$2:M516)+1,0)</f>
        <v>515</v>
      </c>
      <c r="Y517" s="325" t="s">
        <v>2479</v>
      </c>
      <c r="Z517" t="str">
        <f>IFERROR(VLOOKUP(ROWS($Z$3:Z517),$X$3:$Y$992,2,0),"")</f>
        <v>Obrábění</v>
      </c>
    </row>
    <row r="518" spans="13:26">
      <c r="M518" s="324">
        <f>IF(ISNUMBER(SEARCH(ZAKL_DATA!$B$29,N518)),MAX($M$2:M517)+1,0)</f>
        <v>516</v>
      </c>
      <c r="N518" s="325" t="s">
        <v>2481</v>
      </c>
      <c r="O518" s="340" t="s">
        <v>2482</v>
      </c>
      <c r="Q518" s="327" t="str">
        <f>IFERROR(VLOOKUP(ROWS($Q$3:Q518),$M$3:$N$992,2,0),"")</f>
        <v>Výroba nožířských výrobků</v>
      </c>
      <c r="R518">
        <f>IF(ISNUMBER(SEARCH('1Př1'!$A$32,N518)),MAX($M$2:M517)+1,0)</f>
        <v>516</v>
      </c>
      <c r="S518" s="325" t="s">
        <v>2481</v>
      </c>
      <c r="T518" t="str">
        <f>IFERROR(VLOOKUP(ROWS($T$3:T518),$R$3:$S$992,2,0),"")</f>
        <v>Výroba nožířských výrobků</v>
      </c>
      <c r="U518">
        <f>IF(ISNUMBER(SEARCH('1Př1'!$A$33,N518)),MAX($M$2:M517)+1,0)</f>
        <v>516</v>
      </c>
      <c r="V518" s="325" t="s">
        <v>2481</v>
      </c>
      <c r="W518" t="str">
        <f>IFERROR(VLOOKUP(ROWS($W$3:W518),$U$3:$V$992,2,0),"")</f>
        <v>Výroba nožířských výrobků</v>
      </c>
      <c r="X518">
        <f>IF(ISNUMBER(SEARCH('1Př1'!$A$34,N518)),MAX($M$2:M517)+1,0)</f>
        <v>516</v>
      </c>
      <c r="Y518" s="325" t="s">
        <v>2481</v>
      </c>
      <c r="Z518" t="str">
        <f>IFERROR(VLOOKUP(ROWS($Z$3:Z518),$X$3:$Y$992,2,0),"")</f>
        <v>Výroba nožířských výrobků</v>
      </c>
    </row>
    <row r="519" spans="13:26">
      <c r="M519" s="324">
        <f>IF(ISNUMBER(SEARCH(ZAKL_DATA!$B$29,N519)),MAX($M$2:M518)+1,0)</f>
        <v>517</v>
      </c>
      <c r="N519" s="325" t="s">
        <v>2483</v>
      </c>
      <c r="O519" s="340" t="s">
        <v>2484</v>
      </c>
      <c r="Q519" s="327" t="str">
        <f>IFERROR(VLOOKUP(ROWS($Q$3:Q519),$M$3:$N$992,2,0),"")</f>
        <v>Výroba zámků a kování</v>
      </c>
      <c r="R519">
        <f>IF(ISNUMBER(SEARCH('1Př1'!$A$32,N519)),MAX($M$2:M518)+1,0)</f>
        <v>517</v>
      </c>
      <c r="S519" s="325" t="s">
        <v>2483</v>
      </c>
      <c r="T519" t="str">
        <f>IFERROR(VLOOKUP(ROWS($T$3:T519),$R$3:$S$992,2,0),"")</f>
        <v>Výroba zámků a kování</v>
      </c>
      <c r="U519">
        <f>IF(ISNUMBER(SEARCH('1Př1'!$A$33,N519)),MAX($M$2:M518)+1,0)</f>
        <v>517</v>
      </c>
      <c r="V519" s="325" t="s">
        <v>2483</v>
      </c>
      <c r="W519" t="str">
        <f>IFERROR(VLOOKUP(ROWS($W$3:W519),$U$3:$V$992,2,0),"")</f>
        <v>Výroba zámků a kování</v>
      </c>
      <c r="X519">
        <f>IF(ISNUMBER(SEARCH('1Př1'!$A$34,N519)),MAX($M$2:M518)+1,0)</f>
        <v>517</v>
      </c>
      <c r="Y519" s="325" t="s">
        <v>2483</v>
      </c>
      <c r="Z519" t="str">
        <f>IFERROR(VLOOKUP(ROWS($Z$3:Z519),$X$3:$Y$992,2,0),"")</f>
        <v>Výroba zámků a kování</v>
      </c>
    </row>
    <row r="520" spans="13:26">
      <c r="M520" s="324">
        <f>IF(ISNUMBER(SEARCH(ZAKL_DATA!$B$29,N520)),MAX($M$2:M519)+1,0)</f>
        <v>518</v>
      </c>
      <c r="N520" s="325" t="s">
        <v>2485</v>
      </c>
      <c r="O520" s="340" t="s">
        <v>2486</v>
      </c>
      <c r="Q520" s="327" t="str">
        <f>IFERROR(VLOOKUP(ROWS($Q$3:Q520),$M$3:$N$992,2,0),"")</f>
        <v>Výroba nástrojů a nářadí</v>
      </c>
      <c r="R520">
        <f>IF(ISNUMBER(SEARCH('1Př1'!$A$32,N520)),MAX($M$2:M519)+1,0)</f>
        <v>518</v>
      </c>
      <c r="S520" s="325" t="s">
        <v>2485</v>
      </c>
      <c r="T520" t="str">
        <f>IFERROR(VLOOKUP(ROWS($T$3:T520),$R$3:$S$992,2,0),"")</f>
        <v>Výroba nástrojů a nářadí</v>
      </c>
      <c r="U520">
        <f>IF(ISNUMBER(SEARCH('1Př1'!$A$33,N520)),MAX($M$2:M519)+1,0)</f>
        <v>518</v>
      </c>
      <c r="V520" s="325" t="s">
        <v>2485</v>
      </c>
      <c r="W520" t="str">
        <f>IFERROR(VLOOKUP(ROWS($W$3:W520),$U$3:$V$992,2,0),"")</f>
        <v>Výroba nástrojů a nářadí</v>
      </c>
      <c r="X520">
        <f>IF(ISNUMBER(SEARCH('1Př1'!$A$34,N520)),MAX($M$2:M519)+1,0)</f>
        <v>518</v>
      </c>
      <c r="Y520" s="325" t="s">
        <v>2485</v>
      </c>
      <c r="Z520" t="str">
        <f>IFERROR(VLOOKUP(ROWS($Z$3:Z520),$X$3:$Y$992,2,0),"")</f>
        <v>Výroba nástrojů a nářadí</v>
      </c>
    </row>
    <row r="521" spans="13:26">
      <c r="M521" s="324">
        <f>IF(ISNUMBER(SEARCH(ZAKL_DATA!$B$29,N521)),MAX($M$2:M520)+1,0)</f>
        <v>519</v>
      </c>
      <c r="N521" s="325" t="s">
        <v>2487</v>
      </c>
      <c r="O521" s="340" t="s">
        <v>2488</v>
      </c>
      <c r="Q521" s="327" t="str">
        <f>IFERROR(VLOOKUP(ROWS($Q$3:Q521),$M$3:$N$992,2,0),"")</f>
        <v>Výroba ocelových sudů a podobných nádob</v>
      </c>
      <c r="R521">
        <f>IF(ISNUMBER(SEARCH('1Př1'!$A$32,N521)),MAX($M$2:M520)+1,0)</f>
        <v>519</v>
      </c>
      <c r="S521" s="325" t="s">
        <v>2487</v>
      </c>
      <c r="T521" t="str">
        <f>IFERROR(VLOOKUP(ROWS($T$3:T521),$R$3:$S$992,2,0),"")</f>
        <v>Výroba ocelových sudů a podobných nádob</v>
      </c>
      <c r="U521">
        <f>IF(ISNUMBER(SEARCH('1Př1'!$A$33,N521)),MAX($M$2:M520)+1,0)</f>
        <v>519</v>
      </c>
      <c r="V521" s="325" t="s">
        <v>2487</v>
      </c>
      <c r="W521" t="str">
        <f>IFERROR(VLOOKUP(ROWS($W$3:W521),$U$3:$V$992,2,0),"")</f>
        <v>Výroba ocelových sudů a podobných nádob</v>
      </c>
      <c r="X521">
        <f>IF(ISNUMBER(SEARCH('1Př1'!$A$34,N521)),MAX($M$2:M520)+1,0)</f>
        <v>519</v>
      </c>
      <c r="Y521" s="325" t="s">
        <v>2487</v>
      </c>
      <c r="Z521" t="str">
        <f>IFERROR(VLOOKUP(ROWS($Z$3:Z521),$X$3:$Y$992,2,0),"")</f>
        <v>Výroba ocelových sudů a podobných nádob</v>
      </c>
    </row>
    <row r="522" spans="13:26">
      <c r="M522" s="324">
        <f>IF(ISNUMBER(SEARCH(ZAKL_DATA!$B$29,N522)),MAX($M$2:M521)+1,0)</f>
        <v>520</v>
      </c>
      <c r="N522" s="325" t="s">
        <v>2489</v>
      </c>
      <c r="O522" s="340" t="s">
        <v>2490</v>
      </c>
      <c r="Q522" s="327" t="str">
        <f>IFERROR(VLOOKUP(ROWS($Q$3:Q522),$M$3:$N$992,2,0),"")</f>
        <v>Výroba drobných kovových obalů</v>
      </c>
      <c r="R522">
        <f>IF(ISNUMBER(SEARCH('1Př1'!$A$32,N522)),MAX($M$2:M521)+1,0)</f>
        <v>520</v>
      </c>
      <c r="S522" s="325" t="s">
        <v>2489</v>
      </c>
      <c r="T522" t="str">
        <f>IFERROR(VLOOKUP(ROWS($T$3:T522),$R$3:$S$992,2,0),"")</f>
        <v>Výroba drobných kovových obalů</v>
      </c>
      <c r="U522">
        <f>IF(ISNUMBER(SEARCH('1Př1'!$A$33,N522)),MAX($M$2:M521)+1,0)</f>
        <v>520</v>
      </c>
      <c r="V522" s="325" t="s">
        <v>2489</v>
      </c>
      <c r="W522" t="str">
        <f>IFERROR(VLOOKUP(ROWS($W$3:W522),$U$3:$V$992,2,0),"")</f>
        <v>Výroba drobných kovových obalů</v>
      </c>
      <c r="X522">
        <f>IF(ISNUMBER(SEARCH('1Př1'!$A$34,N522)),MAX($M$2:M521)+1,0)</f>
        <v>520</v>
      </c>
      <c r="Y522" s="325" t="s">
        <v>2489</v>
      </c>
      <c r="Z522" t="str">
        <f>IFERROR(VLOOKUP(ROWS($Z$3:Z522),$X$3:$Y$992,2,0),"")</f>
        <v>Výroba drobných kovových obalů</v>
      </c>
    </row>
    <row r="523" spans="13:26">
      <c r="M523" s="324">
        <f>IF(ISNUMBER(SEARCH(ZAKL_DATA!$B$29,N523)),MAX($M$2:M522)+1,0)</f>
        <v>521</v>
      </c>
      <c r="N523" s="325" t="s">
        <v>2491</v>
      </c>
      <c r="O523" s="340" t="s">
        <v>2492</v>
      </c>
      <c r="Q523" s="327" t="str">
        <f>IFERROR(VLOOKUP(ROWS($Q$3:Q523),$M$3:$N$992,2,0),"")</f>
        <v>Výroba drátěných výrobků, řetězů a pružin</v>
      </c>
      <c r="R523">
        <f>IF(ISNUMBER(SEARCH('1Př1'!$A$32,N523)),MAX($M$2:M522)+1,0)</f>
        <v>521</v>
      </c>
      <c r="S523" s="325" t="s">
        <v>2491</v>
      </c>
      <c r="T523" t="str">
        <f>IFERROR(VLOOKUP(ROWS($T$3:T523),$R$3:$S$992,2,0),"")</f>
        <v>Výroba drátěných výrobků, řetězů a pružin</v>
      </c>
      <c r="U523">
        <f>IF(ISNUMBER(SEARCH('1Př1'!$A$33,N523)),MAX($M$2:M522)+1,0)</f>
        <v>521</v>
      </c>
      <c r="V523" s="325" t="s">
        <v>2491</v>
      </c>
      <c r="W523" t="str">
        <f>IFERROR(VLOOKUP(ROWS($W$3:W523),$U$3:$V$992,2,0),"")</f>
        <v>Výroba drátěných výrobků, řetězů a pružin</v>
      </c>
      <c r="X523">
        <f>IF(ISNUMBER(SEARCH('1Př1'!$A$34,N523)),MAX($M$2:M522)+1,0)</f>
        <v>521</v>
      </c>
      <c r="Y523" s="325" t="s">
        <v>2491</v>
      </c>
      <c r="Z523" t="str">
        <f>IFERROR(VLOOKUP(ROWS($Z$3:Z523),$X$3:$Y$992,2,0),"")</f>
        <v>Výroba drátěných výrobků, řetězů a pružin</v>
      </c>
    </row>
    <row r="524" spans="13:26">
      <c r="M524" s="324">
        <f>IF(ISNUMBER(SEARCH(ZAKL_DATA!$B$29,N524)),MAX($M$2:M523)+1,0)</f>
        <v>522</v>
      </c>
      <c r="N524" s="325" t="s">
        <v>2493</v>
      </c>
      <c r="O524" s="340" t="s">
        <v>2494</v>
      </c>
      <c r="Q524" s="327" t="str">
        <f>IFERROR(VLOOKUP(ROWS($Q$3:Q524),$M$3:$N$992,2,0),"")</f>
        <v>Výroba spojovacích materiálů a spojovacích výrobků se závity</v>
      </c>
      <c r="R524">
        <f>IF(ISNUMBER(SEARCH('1Př1'!$A$32,N524)),MAX($M$2:M523)+1,0)</f>
        <v>522</v>
      </c>
      <c r="S524" s="325" t="s">
        <v>2493</v>
      </c>
      <c r="T524" t="str">
        <f>IFERROR(VLOOKUP(ROWS($T$3:T524),$R$3:$S$992,2,0),"")</f>
        <v>Výroba spojovacích materiálů a spojovacích výrobků se závity</v>
      </c>
      <c r="U524">
        <f>IF(ISNUMBER(SEARCH('1Př1'!$A$33,N524)),MAX($M$2:M523)+1,0)</f>
        <v>522</v>
      </c>
      <c r="V524" s="325" t="s">
        <v>2493</v>
      </c>
      <c r="W524" t="str">
        <f>IFERROR(VLOOKUP(ROWS($W$3:W524),$U$3:$V$992,2,0),"")</f>
        <v>Výroba spojovacích materiálů a spojovacích výrobků se závity</v>
      </c>
      <c r="X524">
        <f>IF(ISNUMBER(SEARCH('1Př1'!$A$34,N524)),MAX($M$2:M523)+1,0)</f>
        <v>522</v>
      </c>
      <c r="Y524" s="325" t="s">
        <v>2493</v>
      </c>
      <c r="Z524" t="str">
        <f>IFERROR(VLOOKUP(ROWS($Z$3:Z524),$X$3:$Y$992,2,0),"")</f>
        <v>Výroba spojovacích materiálů a spojovacích výrobků se závity</v>
      </c>
    </row>
    <row r="525" spans="13:26">
      <c r="M525" s="324">
        <f>IF(ISNUMBER(SEARCH(ZAKL_DATA!$B$29,N525)),MAX($M$2:M524)+1,0)</f>
        <v>523</v>
      </c>
      <c r="N525" s="325" t="s">
        <v>2495</v>
      </c>
      <c r="O525" s="340" t="s">
        <v>2496</v>
      </c>
      <c r="Q525" s="327" t="str">
        <f>IFERROR(VLOOKUP(ROWS($Q$3:Q525),$M$3:$N$992,2,0),"")</f>
        <v>Výroba ostatních kovodělných výrobků j. n.</v>
      </c>
      <c r="R525">
        <f>IF(ISNUMBER(SEARCH('1Př1'!$A$32,N525)),MAX($M$2:M524)+1,0)</f>
        <v>523</v>
      </c>
      <c r="S525" s="325" t="s">
        <v>2495</v>
      </c>
      <c r="T525" t="str">
        <f>IFERROR(VLOOKUP(ROWS($T$3:T525),$R$3:$S$992,2,0),"")</f>
        <v>Výroba ostatních kovodělných výrobků j. n.</v>
      </c>
      <c r="U525">
        <f>IF(ISNUMBER(SEARCH('1Př1'!$A$33,N525)),MAX($M$2:M524)+1,0)</f>
        <v>523</v>
      </c>
      <c r="V525" s="325" t="s">
        <v>2495</v>
      </c>
      <c r="W525" t="str">
        <f>IFERROR(VLOOKUP(ROWS($W$3:W525),$U$3:$V$992,2,0),"")</f>
        <v>Výroba ostatních kovodělných výrobků j. n.</v>
      </c>
      <c r="X525">
        <f>IF(ISNUMBER(SEARCH('1Př1'!$A$34,N525)),MAX($M$2:M524)+1,0)</f>
        <v>523</v>
      </c>
      <c r="Y525" s="325" t="s">
        <v>2495</v>
      </c>
      <c r="Z525" t="str">
        <f>IFERROR(VLOOKUP(ROWS($Z$3:Z525),$X$3:$Y$992,2,0),"")</f>
        <v>Výroba ostatních kovodělných výrobků j. n.</v>
      </c>
    </row>
    <row r="526" spans="13:26">
      <c r="M526" s="324">
        <f>IF(ISNUMBER(SEARCH(ZAKL_DATA!$B$29,N526)),MAX($M$2:M525)+1,0)</f>
        <v>524</v>
      </c>
      <c r="N526" s="325" t="s">
        <v>2497</v>
      </c>
      <c r="O526" s="340" t="s">
        <v>2498</v>
      </c>
      <c r="Q526" s="327" t="str">
        <f>IFERROR(VLOOKUP(ROWS($Q$3:Q526),$M$3:$N$992,2,0),"")</f>
        <v>Výroba elektronických součástek</v>
      </c>
      <c r="R526">
        <f>IF(ISNUMBER(SEARCH('1Př1'!$A$32,N526)),MAX($M$2:M525)+1,0)</f>
        <v>524</v>
      </c>
      <c r="S526" s="325" t="s">
        <v>2497</v>
      </c>
      <c r="T526" t="str">
        <f>IFERROR(VLOOKUP(ROWS($T$3:T526),$R$3:$S$992,2,0),"")</f>
        <v>Výroba elektronických součástek</v>
      </c>
      <c r="U526">
        <f>IF(ISNUMBER(SEARCH('1Př1'!$A$33,N526)),MAX($M$2:M525)+1,0)</f>
        <v>524</v>
      </c>
      <c r="V526" s="325" t="s">
        <v>2497</v>
      </c>
      <c r="W526" t="str">
        <f>IFERROR(VLOOKUP(ROWS($W$3:W526),$U$3:$V$992,2,0),"")</f>
        <v>Výroba elektronických součástek</v>
      </c>
      <c r="X526">
        <f>IF(ISNUMBER(SEARCH('1Př1'!$A$34,N526)),MAX($M$2:M525)+1,0)</f>
        <v>524</v>
      </c>
      <c r="Y526" s="325" t="s">
        <v>2497</v>
      </c>
      <c r="Z526" t="str">
        <f>IFERROR(VLOOKUP(ROWS($Z$3:Z526),$X$3:$Y$992,2,0),"")</f>
        <v>Výroba elektronických součástek</v>
      </c>
    </row>
    <row r="527" spans="13:26">
      <c r="M527" s="324">
        <f>IF(ISNUMBER(SEARCH(ZAKL_DATA!$B$29,N527)),MAX($M$2:M526)+1,0)</f>
        <v>525</v>
      </c>
      <c r="N527" s="325" t="s">
        <v>2499</v>
      </c>
      <c r="O527" s="340" t="s">
        <v>2500</v>
      </c>
      <c r="Q527" s="327" t="str">
        <f>IFERROR(VLOOKUP(ROWS($Q$3:Q527),$M$3:$N$992,2,0),"")</f>
        <v>Výroba osazených elektronických desek</v>
      </c>
      <c r="R527">
        <f>IF(ISNUMBER(SEARCH('1Př1'!$A$32,N527)),MAX($M$2:M526)+1,0)</f>
        <v>525</v>
      </c>
      <c r="S527" s="325" t="s">
        <v>2499</v>
      </c>
      <c r="T527" t="str">
        <f>IFERROR(VLOOKUP(ROWS($T$3:T527),$R$3:$S$992,2,0),"")</f>
        <v>Výroba osazených elektronických desek</v>
      </c>
      <c r="U527">
        <f>IF(ISNUMBER(SEARCH('1Př1'!$A$33,N527)),MAX($M$2:M526)+1,0)</f>
        <v>525</v>
      </c>
      <c r="V527" s="325" t="s">
        <v>2499</v>
      </c>
      <c r="W527" t="str">
        <f>IFERROR(VLOOKUP(ROWS($W$3:W527),$U$3:$V$992,2,0),"")</f>
        <v>Výroba osazených elektronických desek</v>
      </c>
      <c r="X527">
        <f>IF(ISNUMBER(SEARCH('1Př1'!$A$34,N527)),MAX($M$2:M526)+1,0)</f>
        <v>525</v>
      </c>
      <c r="Y527" s="325" t="s">
        <v>2499</v>
      </c>
      <c r="Z527" t="str">
        <f>IFERROR(VLOOKUP(ROWS($Z$3:Z527),$X$3:$Y$992,2,0),"")</f>
        <v>Výroba osazených elektronických desek</v>
      </c>
    </row>
    <row r="528" spans="13:26">
      <c r="M528" s="324">
        <f>IF(ISNUMBER(SEARCH(ZAKL_DATA!$B$29,N528)),MAX($M$2:M527)+1,0)</f>
        <v>526</v>
      </c>
      <c r="N528" s="325" t="s">
        <v>2501</v>
      </c>
      <c r="O528" s="340" t="s">
        <v>2502</v>
      </c>
      <c r="Q528" s="327" t="str">
        <f>IFERROR(VLOOKUP(ROWS($Q$3:Q528),$M$3:$N$992,2,0),"")</f>
        <v>Výroba měřicích, zkušebních a navigačních přístrojů</v>
      </c>
      <c r="R528">
        <f>IF(ISNUMBER(SEARCH('1Př1'!$A$32,N528)),MAX($M$2:M527)+1,0)</f>
        <v>526</v>
      </c>
      <c r="S528" s="325" t="s">
        <v>2501</v>
      </c>
      <c r="T528" t="str">
        <f>IFERROR(VLOOKUP(ROWS($T$3:T528),$R$3:$S$992,2,0),"")</f>
        <v>Výroba měřicích, zkušebních a navigačních přístrojů</v>
      </c>
      <c r="U528">
        <f>IF(ISNUMBER(SEARCH('1Př1'!$A$33,N528)),MAX($M$2:M527)+1,0)</f>
        <v>526</v>
      </c>
      <c r="V528" s="325" t="s">
        <v>2501</v>
      </c>
      <c r="W528" t="str">
        <f>IFERROR(VLOOKUP(ROWS($W$3:W528),$U$3:$V$992,2,0),"")</f>
        <v>Výroba měřicích, zkušebních a navigačních přístrojů</v>
      </c>
      <c r="X528">
        <f>IF(ISNUMBER(SEARCH('1Př1'!$A$34,N528)),MAX($M$2:M527)+1,0)</f>
        <v>526</v>
      </c>
      <c r="Y528" s="325" t="s">
        <v>2501</v>
      </c>
      <c r="Z528" t="str">
        <f>IFERROR(VLOOKUP(ROWS($Z$3:Z528),$X$3:$Y$992,2,0),"")</f>
        <v>Výroba měřicích, zkušebních a navigačních přístrojů</v>
      </c>
    </row>
    <row r="529" spans="13:26">
      <c r="M529" s="324">
        <f>IF(ISNUMBER(SEARCH(ZAKL_DATA!$B$29,N529)),MAX($M$2:M528)+1,0)</f>
        <v>527</v>
      </c>
      <c r="N529" s="325" t="s">
        <v>2503</v>
      </c>
      <c r="O529" s="340" t="s">
        <v>2504</v>
      </c>
      <c r="Q529" s="327" t="str">
        <f>IFERROR(VLOOKUP(ROWS($Q$3:Q529),$M$3:$N$992,2,0),"")</f>
        <v>Výroba časoměrných přístrojů</v>
      </c>
      <c r="R529">
        <f>IF(ISNUMBER(SEARCH('1Př1'!$A$32,N529)),MAX($M$2:M528)+1,0)</f>
        <v>527</v>
      </c>
      <c r="S529" s="325" t="s">
        <v>2503</v>
      </c>
      <c r="T529" t="str">
        <f>IFERROR(VLOOKUP(ROWS($T$3:T529),$R$3:$S$992,2,0),"")</f>
        <v>Výroba časoměrných přístrojů</v>
      </c>
      <c r="U529">
        <f>IF(ISNUMBER(SEARCH('1Př1'!$A$33,N529)),MAX($M$2:M528)+1,0)</f>
        <v>527</v>
      </c>
      <c r="V529" s="325" t="s">
        <v>2503</v>
      </c>
      <c r="W529" t="str">
        <f>IFERROR(VLOOKUP(ROWS($W$3:W529),$U$3:$V$992,2,0),"")</f>
        <v>Výroba časoměrných přístrojů</v>
      </c>
      <c r="X529">
        <f>IF(ISNUMBER(SEARCH('1Př1'!$A$34,N529)),MAX($M$2:M528)+1,0)</f>
        <v>527</v>
      </c>
      <c r="Y529" s="325" t="s">
        <v>2503</v>
      </c>
      <c r="Z529" t="str">
        <f>IFERROR(VLOOKUP(ROWS($Z$3:Z529),$X$3:$Y$992,2,0),"")</f>
        <v>Výroba časoměrných přístrojů</v>
      </c>
    </row>
    <row r="530" spans="13:26">
      <c r="M530" s="324">
        <f>IF(ISNUMBER(SEARCH(ZAKL_DATA!$B$29,N530)),MAX($M$2:M529)+1,0)</f>
        <v>528</v>
      </c>
      <c r="N530" s="325" t="s">
        <v>2505</v>
      </c>
      <c r="O530" s="340" t="s">
        <v>2506</v>
      </c>
      <c r="Q530" s="327" t="str">
        <f>IFERROR(VLOOKUP(ROWS($Q$3:Q530),$M$3:$N$992,2,0),"")</f>
        <v>Výroba elektrických motorů, generátorů a transformátorů</v>
      </c>
      <c r="R530">
        <f>IF(ISNUMBER(SEARCH('1Př1'!$A$32,N530)),MAX($M$2:M529)+1,0)</f>
        <v>528</v>
      </c>
      <c r="S530" s="325" t="s">
        <v>2505</v>
      </c>
      <c r="T530" t="str">
        <f>IFERROR(VLOOKUP(ROWS($T$3:T530),$R$3:$S$992,2,0),"")</f>
        <v>Výroba elektrických motorů, generátorů a transformátorů</v>
      </c>
      <c r="U530">
        <f>IF(ISNUMBER(SEARCH('1Př1'!$A$33,N530)),MAX($M$2:M529)+1,0)</f>
        <v>528</v>
      </c>
      <c r="V530" s="325" t="s">
        <v>2505</v>
      </c>
      <c r="W530" t="str">
        <f>IFERROR(VLOOKUP(ROWS($W$3:W530),$U$3:$V$992,2,0),"")</f>
        <v>Výroba elektrických motorů, generátorů a transformátorů</v>
      </c>
      <c r="X530">
        <f>IF(ISNUMBER(SEARCH('1Př1'!$A$34,N530)),MAX($M$2:M529)+1,0)</f>
        <v>528</v>
      </c>
      <c r="Y530" s="325" t="s">
        <v>2505</v>
      </c>
      <c r="Z530" t="str">
        <f>IFERROR(VLOOKUP(ROWS($Z$3:Z530),$X$3:$Y$992,2,0),"")</f>
        <v>Výroba elektrických motorů, generátorů a transformátorů</v>
      </c>
    </row>
    <row r="531" spans="13:26">
      <c r="M531" s="324">
        <f>IF(ISNUMBER(SEARCH(ZAKL_DATA!$B$29,N531)),MAX($M$2:M530)+1,0)</f>
        <v>529</v>
      </c>
      <c r="N531" s="325" t="s">
        <v>2507</v>
      </c>
      <c r="O531" s="340" t="s">
        <v>2508</v>
      </c>
      <c r="Q531" s="327" t="str">
        <f>IFERROR(VLOOKUP(ROWS($Q$3:Q531),$M$3:$N$992,2,0),"")</f>
        <v>Výroba elektrických rozvodných a kontrolních zařízení</v>
      </c>
      <c r="R531">
        <f>IF(ISNUMBER(SEARCH('1Př1'!$A$32,N531)),MAX($M$2:M530)+1,0)</f>
        <v>529</v>
      </c>
      <c r="S531" s="325" t="s">
        <v>2507</v>
      </c>
      <c r="T531" t="str">
        <f>IFERROR(VLOOKUP(ROWS($T$3:T531),$R$3:$S$992,2,0),"")</f>
        <v>Výroba elektrických rozvodných a kontrolních zařízení</v>
      </c>
      <c r="U531">
        <f>IF(ISNUMBER(SEARCH('1Př1'!$A$33,N531)),MAX($M$2:M530)+1,0)</f>
        <v>529</v>
      </c>
      <c r="V531" s="325" t="s">
        <v>2507</v>
      </c>
      <c r="W531" t="str">
        <f>IFERROR(VLOOKUP(ROWS($W$3:W531),$U$3:$V$992,2,0),"")</f>
        <v>Výroba elektrických rozvodných a kontrolních zařízení</v>
      </c>
      <c r="X531">
        <f>IF(ISNUMBER(SEARCH('1Př1'!$A$34,N531)),MAX($M$2:M530)+1,0)</f>
        <v>529</v>
      </c>
      <c r="Y531" s="325" t="s">
        <v>2507</v>
      </c>
      <c r="Z531" t="str">
        <f>IFERROR(VLOOKUP(ROWS($Z$3:Z531),$X$3:$Y$992,2,0),"")</f>
        <v>Výroba elektrických rozvodných a kontrolních zařízení</v>
      </c>
    </row>
    <row r="532" spans="13:26">
      <c r="M532" s="324">
        <f>IF(ISNUMBER(SEARCH(ZAKL_DATA!$B$29,N532)),MAX($M$2:M531)+1,0)</f>
        <v>530</v>
      </c>
      <c r="N532" s="325" t="s">
        <v>2509</v>
      </c>
      <c r="O532" s="340" t="s">
        <v>2510</v>
      </c>
      <c r="Q532" s="327" t="str">
        <f>IFERROR(VLOOKUP(ROWS($Q$3:Q532),$M$3:$N$992,2,0),"")</f>
        <v>Výroba optických kabelů</v>
      </c>
      <c r="R532">
        <f>IF(ISNUMBER(SEARCH('1Př1'!$A$32,N532)),MAX($M$2:M531)+1,0)</f>
        <v>530</v>
      </c>
      <c r="S532" s="325" t="s">
        <v>2509</v>
      </c>
      <c r="T532" t="str">
        <f>IFERROR(VLOOKUP(ROWS($T$3:T532),$R$3:$S$992,2,0),"")</f>
        <v>Výroba optických kabelů</v>
      </c>
      <c r="U532">
        <f>IF(ISNUMBER(SEARCH('1Př1'!$A$33,N532)),MAX($M$2:M531)+1,0)</f>
        <v>530</v>
      </c>
      <c r="V532" s="325" t="s">
        <v>2509</v>
      </c>
      <c r="W532" t="str">
        <f>IFERROR(VLOOKUP(ROWS($W$3:W532),$U$3:$V$992,2,0),"")</f>
        <v>Výroba optických kabelů</v>
      </c>
      <c r="X532">
        <f>IF(ISNUMBER(SEARCH('1Př1'!$A$34,N532)),MAX($M$2:M531)+1,0)</f>
        <v>530</v>
      </c>
      <c r="Y532" s="325" t="s">
        <v>2509</v>
      </c>
      <c r="Z532" t="str">
        <f>IFERROR(VLOOKUP(ROWS($Z$3:Z532),$X$3:$Y$992,2,0),"")</f>
        <v>Výroba optických kabelů</v>
      </c>
    </row>
    <row r="533" spans="13:26">
      <c r="M533" s="324">
        <f>IF(ISNUMBER(SEARCH(ZAKL_DATA!$B$29,N533)),MAX($M$2:M532)+1,0)</f>
        <v>531</v>
      </c>
      <c r="N533" s="325" t="s">
        <v>2511</v>
      </c>
      <c r="O533" s="340" t="s">
        <v>2512</v>
      </c>
      <c r="Q533" s="327" t="str">
        <f>IFERROR(VLOOKUP(ROWS($Q$3:Q533),$M$3:$N$992,2,0),"")</f>
        <v>Výroba elektrických vodičů a kabelů j. n.</v>
      </c>
      <c r="R533">
        <f>IF(ISNUMBER(SEARCH('1Př1'!$A$32,N533)),MAX($M$2:M532)+1,0)</f>
        <v>531</v>
      </c>
      <c r="S533" s="325" t="s">
        <v>2511</v>
      </c>
      <c r="T533" t="str">
        <f>IFERROR(VLOOKUP(ROWS($T$3:T533),$R$3:$S$992,2,0),"")</f>
        <v>Výroba elektrických vodičů a kabelů j. n.</v>
      </c>
      <c r="U533">
        <f>IF(ISNUMBER(SEARCH('1Př1'!$A$33,N533)),MAX($M$2:M532)+1,0)</f>
        <v>531</v>
      </c>
      <c r="V533" s="325" t="s">
        <v>2511</v>
      </c>
      <c r="W533" t="str">
        <f>IFERROR(VLOOKUP(ROWS($W$3:W533),$U$3:$V$992,2,0),"")</f>
        <v>Výroba elektrických vodičů a kabelů j. n.</v>
      </c>
      <c r="X533">
        <f>IF(ISNUMBER(SEARCH('1Př1'!$A$34,N533)),MAX($M$2:M532)+1,0)</f>
        <v>531</v>
      </c>
      <c r="Y533" s="325" t="s">
        <v>2511</v>
      </c>
      <c r="Z533" t="str">
        <f>IFERROR(VLOOKUP(ROWS($Z$3:Z533),$X$3:$Y$992,2,0),"")</f>
        <v>Výroba elektrických vodičů a kabelů j. n.</v>
      </c>
    </row>
    <row r="534" spans="13:26">
      <c r="M534" s="324">
        <f>IF(ISNUMBER(SEARCH(ZAKL_DATA!$B$29,N534)),MAX($M$2:M533)+1,0)</f>
        <v>532</v>
      </c>
      <c r="N534" s="325" t="s">
        <v>2513</v>
      </c>
      <c r="O534" s="340" t="s">
        <v>2514</v>
      </c>
      <c r="Q534" s="327" t="str">
        <f>IFERROR(VLOOKUP(ROWS($Q$3:Q534),$M$3:$N$992,2,0),"")</f>
        <v>Výroba elektroinstalačních zařízení</v>
      </c>
      <c r="R534">
        <f>IF(ISNUMBER(SEARCH('1Př1'!$A$32,N534)),MAX($M$2:M533)+1,0)</f>
        <v>532</v>
      </c>
      <c r="S534" s="325" t="s">
        <v>2513</v>
      </c>
      <c r="T534" t="str">
        <f>IFERROR(VLOOKUP(ROWS($T$3:T534),$R$3:$S$992,2,0),"")</f>
        <v>Výroba elektroinstalačních zařízení</v>
      </c>
      <c r="U534">
        <f>IF(ISNUMBER(SEARCH('1Př1'!$A$33,N534)),MAX($M$2:M533)+1,0)</f>
        <v>532</v>
      </c>
      <c r="V534" s="325" t="s">
        <v>2513</v>
      </c>
      <c r="W534" t="str">
        <f>IFERROR(VLOOKUP(ROWS($W$3:W534),$U$3:$V$992,2,0),"")</f>
        <v>Výroba elektroinstalačních zařízení</v>
      </c>
      <c r="X534">
        <f>IF(ISNUMBER(SEARCH('1Př1'!$A$34,N534)),MAX($M$2:M533)+1,0)</f>
        <v>532</v>
      </c>
      <c r="Y534" s="325" t="s">
        <v>2513</v>
      </c>
      <c r="Z534" t="str">
        <f>IFERROR(VLOOKUP(ROWS($Z$3:Z534),$X$3:$Y$992,2,0),"")</f>
        <v>Výroba elektroinstalačních zařízení</v>
      </c>
    </row>
    <row r="535" spans="13:26">
      <c r="M535" s="324">
        <f>IF(ISNUMBER(SEARCH(ZAKL_DATA!$B$29,N535)),MAX($M$2:M534)+1,0)</f>
        <v>533</v>
      </c>
      <c r="N535" s="325" t="s">
        <v>2515</v>
      </c>
      <c r="O535" s="340" t="s">
        <v>2516</v>
      </c>
      <c r="Q535" s="327" t="str">
        <f>IFERROR(VLOOKUP(ROWS($Q$3:Q535),$M$3:$N$992,2,0),"")</f>
        <v>Výroba elektrických spotřebičů převážně pro domácnost</v>
      </c>
      <c r="R535">
        <f>IF(ISNUMBER(SEARCH('1Př1'!$A$32,N535)),MAX($M$2:M534)+1,0)</f>
        <v>533</v>
      </c>
      <c r="S535" s="325" t="s">
        <v>2515</v>
      </c>
      <c r="T535" t="str">
        <f>IFERROR(VLOOKUP(ROWS($T$3:T535),$R$3:$S$992,2,0),"")</f>
        <v>Výroba elektrických spotřebičů převážně pro domácnost</v>
      </c>
      <c r="U535">
        <f>IF(ISNUMBER(SEARCH('1Př1'!$A$33,N535)),MAX($M$2:M534)+1,0)</f>
        <v>533</v>
      </c>
      <c r="V535" s="325" t="s">
        <v>2515</v>
      </c>
      <c r="W535" t="str">
        <f>IFERROR(VLOOKUP(ROWS($W$3:W535),$U$3:$V$992,2,0),"")</f>
        <v>Výroba elektrických spotřebičů převážně pro domácnost</v>
      </c>
      <c r="X535">
        <f>IF(ISNUMBER(SEARCH('1Př1'!$A$34,N535)),MAX($M$2:M534)+1,0)</f>
        <v>533</v>
      </c>
      <c r="Y535" s="325" t="s">
        <v>2515</v>
      </c>
      <c r="Z535" t="str">
        <f>IFERROR(VLOOKUP(ROWS($Z$3:Z535),$X$3:$Y$992,2,0),"")</f>
        <v>Výroba elektrických spotřebičů převážně pro domácnost</v>
      </c>
    </row>
    <row r="536" spans="13:26">
      <c r="M536" s="324">
        <f>IF(ISNUMBER(SEARCH(ZAKL_DATA!$B$29,N536)),MAX($M$2:M535)+1,0)</f>
        <v>534</v>
      </c>
      <c r="N536" s="325" t="s">
        <v>2517</v>
      </c>
      <c r="O536" s="340" t="s">
        <v>2518</v>
      </c>
      <c r="Q536" s="327" t="str">
        <f>IFERROR(VLOOKUP(ROWS($Q$3:Q536),$M$3:$N$992,2,0),"")</f>
        <v>Výroba neelektrických spotřebičů převážně pro domácnost</v>
      </c>
      <c r="R536">
        <f>IF(ISNUMBER(SEARCH('1Př1'!$A$32,N536)),MAX($M$2:M535)+1,0)</f>
        <v>534</v>
      </c>
      <c r="S536" s="325" t="s">
        <v>2517</v>
      </c>
      <c r="T536" t="str">
        <f>IFERROR(VLOOKUP(ROWS($T$3:T536),$R$3:$S$992,2,0),"")</f>
        <v>Výroba neelektrických spotřebičů převážně pro domácnost</v>
      </c>
      <c r="U536">
        <f>IF(ISNUMBER(SEARCH('1Př1'!$A$33,N536)),MAX($M$2:M535)+1,0)</f>
        <v>534</v>
      </c>
      <c r="V536" s="325" t="s">
        <v>2517</v>
      </c>
      <c r="W536" t="str">
        <f>IFERROR(VLOOKUP(ROWS($W$3:W536),$U$3:$V$992,2,0),"")</f>
        <v>Výroba neelektrických spotřebičů převážně pro domácnost</v>
      </c>
      <c r="X536">
        <f>IF(ISNUMBER(SEARCH('1Př1'!$A$34,N536)),MAX($M$2:M535)+1,0)</f>
        <v>534</v>
      </c>
      <c r="Y536" s="325" t="s">
        <v>2517</v>
      </c>
      <c r="Z536" t="str">
        <f>IFERROR(VLOOKUP(ROWS($Z$3:Z536),$X$3:$Y$992,2,0),"")</f>
        <v>Výroba neelektrických spotřebičů převážně pro domácnost</v>
      </c>
    </row>
    <row r="537" spans="13:26">
      <c r="M537" s="324">
        <f>IF(ISNUMBER(SEARCH(ZAKL_DATA!$B$29,N537)),MAX($M$2:M536)+1,0)</f>
        <v>535</v>
      </c>
      <c r="N537" s="325" t="s">
        <v>2519</v>
      </c>
      <c r="O537" s="340" t="s">
        <v>2520</v>
      </c>
      <c r="Q537" s="327" t="str">
        <f>IFERROR(VLOOKUP(ROWS($Q$3:Q537),$M$3:$N$992,2,0),"")</f>
        <v>Výroba motorů a turbín, kromě motorů pro letadla, automobily a motocykly</v>
      </c>
      <c r="R537">
        <f>IF(ISNUMBER(SEARCH('1Př1'!$A$32,N537)),MAX($M$2:M536)+1,0)</f>
        <v>535</v>
      </c>
      <c r="S537" s="325" t="s">
        <v>2519</v>
      </c>
      <c r="T537" t="str">
        <f>IFERROR(VLOOKUP(ROWS($T$3:T537),$R$3:$S$992,2,0),"")</f>
        <v>Výroba motorů a turbín, kromě motorů pro letadla, automobily a motocykly</v>
      </c>
      <c r="U537">
        <f>IF(ISNUMBER(SEARCH('1Př1'!$A$33,N537)),MAX($M$2:M536)+1,0)</f>
        <v>535</v>
      </c>
      <c r="V537" s="325" t="s">
        <v>2519</v>
      </c>
      <c r="W537" t="str">
        <f>IFERROR(VLOOKUP(ROWS($W$3:W537),$U$3:$V$992,2,0),"")</f>
        <v>Výroba motorů a turbín, kromě motorů pro letadla, automobily a motocykly</v>
      </c>
      <c r="X537">
        <f>IF(ISNUMBER(SEARCH('1Př1'!$A$34,N537)),MAX($M$2:M536)+1,0)</f>
        <v>535</v>
      </c>
      <c r="Y537" s="325" t="s">
        <v>2519</v>
      </c>
      <c r="Z537" t="str">
        <f>IFERROR(VLOOKUP(ROWS($Z$3:Z537),$X$3:$Y$992,2,0),"")</f>
        <v>Výroba motorů a turbín, kromě motorů pro letadla, automobily a motocykly</v>
      </c>
    </row>
    <row r="538" spans="13:26">
      <c r="M538" s="324">
        <f>IF(ISNUMBER(SEARCH(ZAKL_DATA!$B$29,N538)),MAX($M$2:M537)+1,0)</f>
        <v>536</v>
      </c>
      <c r="N538" s="325" t="s">
        <v>2521</v>
      </c>
      <c r="O538" s="340" t="s">
        <v>2522</v>
      </c>
      <c r="Q538" s="327" t="str">
        <f>IFERROR(VLOOKUP(ROWS($Q$3:Q538),$M$3:$N$992,2,0),"")</f>
        <v>Výroba hydraulických a pneumatických zařízení</v>
      </c>
      <c r="R538">
        <f>IF(ISNUMBER(SEARCH('1Př1'!$A$32,N538)),MAX($M$2:M537)+1,0)</f>
        <v>536</v>
      </c>
      <c r="S538" s="325" t="s">
        <v>2521</v>
      </c>
      <c r="T538" t="str">
        <f>IFERROR(VLOOKUP(ROWS($T$3:T538),$R$3:$S$992,2,0),"")</f>
        <v>Výroba hydraulických a pneumatických zařízení</v>
      </c>
      <c r="U538">
        <f>IF(ISNUMBER(SEARCH('1Př1'!$A$33,N538)),MAX($M$2:M537)+1,0)</f>
        <v>536</v>
      </c>
      <c r="V538" s="325" t="s">
        <v>2521</v>
      </c>
      <c r="W538" t="str">
        <f>IFERROR(VLOOKUP(ROWS($W$3:W538),$U$3:$V$992,2,0),"")</f>
        <v>Výroba hydraulických a pneumatických zařízení</v>
      </c>
      <c r="X538">
        <f>IF(ISNUMBER(SEARCH('1Př1'!$A$34,N538)),MAX($M$2:M537)+1,0)</f>
        <v>536</v>
      </c>
      <c r="Y538" s="325" t="s">
        <v>2521</v>
      </c>
      <c r="Z538" t="str">
        <f>IFERROR(VLOOKUP(ROWS($Z$3:Z538),$X$3:$Y$992,2,0),"")</f>
        <v>Výroba hydraulických a pneumatických zařízení</v>
      </c>
    </row>
    <row r="539" spans="13:26">
      <c r="M539" s="324">
        <f>IF(ISNUMBER(SEARCH(ZAKL_DATA!$B$29,N539)),MAX($M$2:M538)+1,0)</f>
        <v>537</v>
      </c>
      <c r="N539" s="325" t="s">
        <v>2523</v>
      </c>
      <c r="O539" s="340" t="s">
        <v>2524</v>
      </c>
      <c r="Q539" s="327" t="str">
        <f>IFERROR(VLOOKUP(ROWS($Q$3:Q539),$M$3:$N$992,2,0),"")</f>
        <v>Výroba ostatních čerpadel a kompresorů</v>
      </c>
      <c r="R539">
        <f>IF(ISNUMBER(SEARCH('1Př1'!$A$32,N539)),MAX($M$2:M538)+1,0)</f>
        <v>537</v>
      </c>
      <c r="S539" s="325" t="s">
        <v>2523</v>
      </c>
      <c r="T539" t="str">
        <f>IFERROR(VLOOKUP(ROWS($T$3:T539),$R$3:$S$992,2,0),"")</f>
        <v>Výroba ostatních čerpadel a kompresorů</v>
      </c>
      <c r="U539">
        <f>IF(ISNUMBER(SEARCH('1Př1'!$A$33,N539)),MAX($M$2:M538)+1,0)</f>
        <v>537</v>
      </c>
      <c r="V539" s="325" t="s">
        <v>2523</v>
      </c>
      <c r="W539" t="str">
        <f>IFERROR(VLOOKUP(ROWS($W$3:W539),$U$3:$V$992,2,0),"")</f>
        <v>Výroba ostatních čerpadel a kompresorů</v>
      </c>
      <c r="X539">
        <f>IF(ISNUMBER(SEARCH('1Př1'!$A$34,N539)),MAX($M$2:M538)+1,0)</f>
        <v>537</v>
      </c>
      <c r="Y539" s="325" t="s">
        <v>2523</v>
      </c>
      <c r="Z539" t="str">
        <f>IFERROR(VLOOKUP(ROWS($Z$3:Z539),$X$3:$Y$992,2,0),"")</f>
        <v>Výroba ostatních čerpadel a kompresorů</v>
      </c>
    </row>
    <row r="540" spans="13:26">
      <c r="M540" s="324">
        <f>IF(ISNUMBER(SEARCH(ZAKL_DATA!$B$29,N540)),MAX($M$2:M539)+1,0)</f>
        <v>538</v>
      </c>
      <c r="N540" s="325" t="s">
        <v>2525</v>
      </c>
      <c r="O540" s="340" t="s">
        <v>2526</v>
      </c>
      <c r="Q540" s="327" t="str">
        <f>IFERROR(VLOOKUP(ROWS($Q$3:Q540),$M$3:$N$992,2,0),"")</f>
        <v>Výroba ostatních potrubních armatur</v>
      </c>
      <c r="R540">
        <f>IF(ISNUMBER(SEARCH('1Př1'!$A$32,N540)),MAX($M$2:M539)+1,0)</f>
        <v>538</v>
      </c>
      <c r="S540" s="325" t="s">
        <v>2525</v>
      </c>
      <c r="T540" t="str">
        <f>IFERROR(VLOOKUP(ROWS($T$3:T540),$R$3:$S$992,2,0),"")</f>
        <v>Výroba ostatních potrubních armatur</v>
      </c>
      <c r="U540">
        <f>IF(ISNUMBER(SEARCH('1Př1'!$A$33,N540)),MAX($M$2:M539)+1,0)</f>
        <v>538</v>
      </c>
      <c r="V540" s="325" t="s">
        <v>2525</v>
      </c>
      <c r="W540" t="str">
        <f>IFERROR(VLOOKUP(ROWS($W$3:W540),$U$3:$V$992,2,0),"")</f>
        <v>Výroba ostatních potrubních armatur</v>
      </c>
      <c r="X540">
        <f>IF(ISNUMBER(SEARCH('1Př1'!$A$34,N540)),MAX($M$2:M539)+1,0)</f>
        <v>538</v>
      </c>
      <c r="Y540" s="325" t="s">
        <v>2525</v>
      </c>
      <c r="Z540" t="str">
        <f>IFERROR(VLOOKUP(ROWS($Z$3:Z540),$X$3:$Y$992,2,0),"")</f>
        <v>Výroba ostatních potrubních armatur</v>
      </c>
    </row>
    <row r="541" spans="13:26">
      <c r="M541" s="324">
        <f>IF(ISNUMBER(SEARCH(ZAKL_DATA!$B$29,N541)),MAX($M$2:M540)+1,0)</f>
        <v>539</v>
      </c>
      <c r="N541" s="325" t="s">
        <v>2527</v>
      </c>
      <c r="O541" s="340" t="s">
        <v>2528</v>
      </c>
      <c r="Q541" s="327" t="str">
        <f>IFERROR(VLOOKUP(ROWS($Q$3:Q541),$M$3:$N$992,2,0),"")</f>
        <v>Výroba ložisek, ozubených kol, převodů a hnacích prvků</v>
      </c>
      <c r="R541">
        <f>IF(ISNUMBER(SEARCH('1Př1'!$A$32,N541)),MAX($M$2:M540)+1,0)</f>
        <v>539</v>
      </c>
      <c r="S541" s="325" t="s">
        <v>2527</v>
      </c>
      <c r="T541" t="str">
        <f>IFERROR(VLOOKUP(ROWS($T$3:T541),$R$3:$S$992,2,0),"")</f>
        <v>Výroba ložisek, ozubených kol, převodů a hnacích prvků</v>
      </c>
      <c r="U541">
        <f>IF(ISNUMBER(SEARCH('1Př1'!$A$33,N541)),MAX($M$2:M540)+1,0)</f>
        <v>539</v>
      </c>
      <c r="V541" s="325" t="s">
        <v>2527</v>
      </c>
      <c r="W541" t="str">
        <f>IFERROR(VLOOKUP(ROWS($W$3:W541),$U$3:$V$992,2,0),"")</f>
        <v>Výroba ložisek, ozubených kol, převodů a hnacích prvků</v>
      </c>
      <c r="X541">
        <f>IF(ISNUMBER(SEARCH('1Př1'!$A$34,N541)),MAX($M$2:M540)+1,0)</f>
        <v>539</v>
      </c>
      <c r="Y541" s="325" t="s">
        <v>2527</v>
      </c>
      <c r="Z541" t="str">
        <f>IFERROR(VLOOKUP(ROWS($Z$3:Z541),$X$3:$Y$992,2,0),"")</f>
        <v>Výroba ložisek, ozubených kol, převodů a hnacích prvků</v>
      </c>
    </row>
    <row r="542" spans="13:26">
      <c r="M542" s="324">
        <f>IF(ISNUMBER(SEARCH(ZAKL_DATA!$B$29,N542)),MAX($M$2:M541)+1,0)</f>
        <v>540</v>
      </c>
      <c r="N542" s="325" t="s">
        <v>2529</v>
      </c>
      <c r="O542" s="340" t="s">
        <v>2530</v>
      </c>
      <c r="Q542" s="327" t="str">
        <f>IFERROR(VLOOKUP(ROWS($Q$3:Q542),$M$3:$N$992,2,0),"")</f>
        <v>Výroba pecí a hořáků pro topeniště</v>
      </c>
      <c r="R542">
        <f>IF(ISNUMBER(SEARCH('1Př1'!$A$32,N542)),MAX($M$2:M541)+1,0)</f>
        <v>540</v>
      </c>
      <c r="S542" s="325" t="s">
        <v>2529</v>
      </c>
      <c r="T542" t="str">
        <f>IFERROR(VLOOKUP(ROWS($T$3:T542),$R$3:$S$992,2,0),"")</f>
        <v>Výroba pecí a hořáků pro topeniště</v>
      </c>
      <c r="U542">
        <f>IF(ISNUMBER(SEARCH('1Př1'!$A$33,N542)),MAX($M$2:M541)+1,0)</f>
        <v>540</v>
      </c>
      <c r="V542" s="325" t="s">
        <v>2529</v>
      </c>
      <c r="W542" t="str">
        <f>IFERROR(VLOOKUP(ROWS($W$3:W542),$U$3:$V$992,2,0),"")</f>
        <v>Výroba pecí a hořáků pro topeniště</v>
      </c>
      <c r="X542">
        <f>IF(ISNUMBER(SEARCH('1Př1'!$A$34,N542)),MAX($M$2:M541)+1,0)</f>
        <v>540</v>
      </c>
      <c r="Y542" s="325" t="s">
        <v>2529</v>
      </c>
      <c r="Z542" t="str">
        <f>IFERROR(VLOOKUP(ROWS($Z$3:Z542),$X$3:$Y$992,2,0),"")</f>
        <v>Výroba pecí a hořáků pro topeniště</v>
      </c>
    </row>
    <row r="543" spans="13:26">
      <c r="M543" s="324">
        <f>IF(ISNUMBER(SEARCH(ZAKL_DATA!$B$29,N543)),MAX($M$2:M542)+1,0)</f>
        <v>541</v>
      </c>
      <c r="N543" s="325" t="s">
        <v>2531</v>
      </c>
      <c r="O543" s="340" t="s">
        <v>2532</v>
      </c>
      <c r="Q543" s="327" t="str">
        <f>IFERROR(VLOOKUP(ROWS($Q$3:Q543),$M$3:$N$992,2,0),"")</f>
        <v>Výroba zdvihacích a manipulačních zařízení</v>
      </c>
      <c r="R543">
        <f>IF(ISNUMBER(SEARCH('1Př1'!$A$32,N543)),MAX($M$2:M542)+1,0)</f>
        <v>541</v>
      </c>
      <c r="S543" s="325" t="s">
        <v>2531</v>
      </c>
      <c r="T543" t="str">
        <f>IFERROR(VLOOKUP(ROWS($T$3:T543),$R$3:$S$992,2,0),"")</f>
        <v>Výroba zdvihacích a manipulačních zařízení</v>
      </c>
      <c r="U543">
        <f>IF(ISNUMBER(SEARCH('1Př1'!$A$33,N543)),MAX($M$2:M542)+1,0)</f>
        <v>541</v>
      </c>
      <c r="V543" s="325" t="s">
        <v>2531</v>
      </c>
      <c r="W543" t="str">
        <f>IFERROR(VLOOKUP(ROWS($W$3:W543),$U$3:$V$992,2,0),"")</f>
        <v>Výroba zdvihacích a manipulačních zařízení</v>
      </c>
      <c r="X543">
        <f>IF(ISNUMBER(SEARCH('1Př1'!$A$34,N543)),MAX($M$2:M542)+1,0)</f>
        <v>541</v>
      </c>
      <c r="Y543" s="325" t="s">
        <v>2531</v>
      </c>
      <c r="Z543" t="str">
        <f>IFERROR(VLOOKUP(ROWS($Z$3:Z543),$X$3:$Y$992,2,0),"")</f>
        <v>Výroba zdvihacích a manipulačních zařízení</v>
      </c>
    </row>
    <row r="544" spans="13:26">
      <c r="M544" s="324">
        <f>IF(ISNUMBER(SEARCH(ZAKL_DATA!$B$29,N544)),MAX($M$2:M543)+1,0)</f>
        <v>542</v>
      </c>
      <c r="N544" s="325" t="s">
        <v>2533</v>
      </c>
      <c r="O544" s="340" t="s">
        <v>2534</v>
      </c>
      <c r="Q544" s="327" t="str">
        <f>IFERROR(VLOOKUP(ROWS($Q$3:Q544),$M$3:$N$992,2,0),"")</f>
        <v>Výroba kancelářských strojů a zařízení,kromě počítačů a perif.zařízení</v>
      </c>
      <c r="R544">
        <f>IF(ISNUMBER(SEARCH('1Př1'!$A$32,N544)),MAX($M$2:M543)+1,0)</f>
        <v>542</v>
      </c>
      <c r="S544" s="325" t="s">
        <v>2533</v>
      </c>
      <c r="T544" t="str">
        <f>IFERROR(VLOOKUP(ROWS($T$3:T544),$R$3:$S$992,2,0),"")</f>
        <v>Výroba kancelářských strojů a zařízení,kromě počítačů a perif.zařízení</v>
      </c>
      <c r="U544">
        <f>IF(ISNUMBER(SEARCH('1Př1'!$A$33,N544)),MAX($M$2:M543)+1,0)</f>
        <v>542</v>
      </c>
      <c r="V544" s="325" t="s">
        <v>2533</v>
      </c>
      <c r="W544" t="str">
        <f>IFERROR(VLOOKUP(ROWS($W$3:W544),$U$3:$V$992,2,0),"")</f>
        <v>Výroba kancelářských strojů a zařízení,kromě počítačů a perif.zařízení</v>
      </c>
      <c r="X544">
        <f>IF(ISNUMBER(SEARCH('1Př1'!$A$34,N544)),MAX($M$2:M543)+1,0)</f>
        <v>542</v>
      </c>
      <c r="Y544" s="325" t="s">
        <v>2533</v>
      </c>
      <c r="Z544" t="str">
        <f>IFERROR(VLOOKUP(ROWS($Z$3:Z544),$X$3:$Y$992,2,0),"")</f>
        <v>Výroba kancelářských strojů a zařízení,kromě počítačů a perif.zařízení</v>
      </c>
    </row>
    <row r="545" spans="13:26">
      <c r="M545" s="324">
        <f>IF(ISNUMBER(SEARCH(ZAKL_DATA!$B$29,N545)),MAX($M$2:M544)+1,0)</f>
        <v>543</v>
      </c>
      <c r="N545" s="325" t="s">
        <v>2535</v>
      </c>
      <c r="O545" s="340" t="s">
        <v>2536</v>
      </c>
      <c r="Q545" s="327" t="str">
        <f>IFERROR(VLOOKUP(ROWS($Q$3:Q545),$M$3:$N$992,2,0),"")</f>
        <v>Výroba ručních mechanizovaných nástrojů</v>
      </c>
      <c r="R545">
        <f>IF(ISNUMBER(SEARCH('1Př1'!$A$32,N545)),MAX($M$2:M544)+1,0)</f>
        <v>543</v>
      </c>
      <c r="S545" s="325" t="s">
        <v>2535</v>
      </c>
      <c r="T545" t="str">
        <f>IFERROR(VLOOKUP(ROWS($T$3:T545),$R$3:$S$992,2,0),"")</f>
        <v>Výroba ručních mechanizovaných nástrojů</v>
      </c>
      <c r="U545">
        <f>IF(ISNUMBER(SEARCH('1Př1'!$A$33,N545)),MAX($M$2:M544)+1,0)</f>
        <v>543</v>
      </c>
      <c r="V545" s="325" t="s">
        <v>2535</v>
      </c>
      <c r="W545" t="str">
        <f>IFERROR(VLOOKUP(ROWS($W$3:W545),$U$3:$V$992,2,0),"")</f>
        <v>Výroba ručních mechanizovaných nástrojů</v>
      </c>
      <c r="X545">
        <f>IF(ISNUMBER(SEARCH('1Př1'!$A$34,N545)),MAX($M$2:M544)+1,0)</f>
        <v>543</v>
      </c>
      <c r="Y545" s="325" t="s">
        <v>2535</v>
      </c>
      <c r="Z545" t="str">
        <f>IFERROR(VLOOKUP(ROWS($Z$3:Z545),$X$3:$Y$992,2,0),"")</f>
        <v>Výroba ručních mechanizovaných nástrojů</v>
      </c>
    </row>
    <row r="546" spans="13:26">
      <c r="M546" s="324">
        <f>IF(ISNUMBER(SEARCH(ZAKL_DATA!$B$29,N546)),MAX($M$2:M545)+1,0)</f>
        <v>544</v>
      </c>
      <c r="N546" s="325" t="s">
        <v>2537</v>
      </c>
      <c r="O546" s="340" t="s">
        <v>2538</v>
      </c>
      <c r="Q546" s="327" t="str">
        <f>IFERROR(VLOOKUP(ROWS($Q$3:Q546),$M$3:$N$992,2,0),"")</f>
        <v>Výroba průmyslových chladicích a klimatizačních zařízení</v>
      </c>
      <c r="R546">
        <f>IF(ISNUMBER(SEARCH('1Př1'!$A$32,N546)),MAX($M$2:M545)+1,0)</f>
        <v>544</v>
      </c>
      <c r="S546" s="325" t="s">
        <v>2537</v>
      </c>
      <c r="T546" t="str">
        <f>IFERROR(VLOOKUP(ROWS($T$3:T546),$R$3:$S$992,2,0),"")</f>
        <v>Výroba průmyslových chladicích a klimatizačních zařízení</v>
      </c>
      <c r="U546">
        <f>IF(ISNUMBER(SEARCH('1Př1'!$A$33,N546)),MAX($M$2:M545)+1,0)</f>
        <v>544</v>
      </c>
      <c r="V546" s="325" t="s">
        <v>2537</v>
      </c>
      <c r="W546" t="str">
        <f>IFERROR(VLOOKUP(ROWS($W$3:W546),$U$3:$V$992,2,0),"")</f>
        <v>Výroba průmyslových chladicích a klimatizačních zařízení</v>
      </c>
      <c r="X546">
        <f>IF(ISNUMBER(SEARCH('1Př1'!$A$34,N546)),MAX($M$2:M545)+1,0)</f>
        <v>544</v>
      </c>
      <c r="Y546" s="325" t="s">
        <v>2537</v>
      </c>
      <c r="Z546" t="str">
        <f>IFERROR(VLOOKUP(ROWS($Z$3:Z546),$X$3:$Y$992,2,0),"")</f>
        <v>Výroba průmyslových chladicích a klimatizačních zařízení</v>
      </c>
    </row>
    <row r="547" spans="13:26">
      <c r="M547" s="324">
        <f>IF(ISNUMBER(SEARCH(ZAKL_DATA!$B$29,N547)),MAX($M$2:M546)+1,0)</f>
        <v>545</v>
      </c>
      <c r="N547" s="325" t="s">
        <v>2539</v>
      </c>
      <c r="O547" s="340" t="s">
        <v>2540</v>
      </c>
      <c r="Q547" s="327" t="str">
        <f>IFERROR(VLOOKUP(ROWS($Q$3:Q547),$M$3:$N$992,2,0),"")</f>
        <v>Výroba ostatních strojů a zařízení pro všeobecné účely j. n.</v>
      </c>
      <c r="R547">
        <f>IF(ISNUMBER(SEARCH('1Př1'!$A$32,N547)),MAX($M$2:M546)+1,0)</f>
        <v>545</v>
      </c>
      <c r="S547" s="325" t="s">
        <v>2539</v>
      </c>
      <c r="T547" t="str">
        <f>IFERROR(VLOOKUP(ROWS($T$3:T547),$R$3:$S$992,2,0),"")</f>
        <v>Výroba ostatních strojů a zařízení pro všeobecné účely j. n.</v>
      </c>
      <c r="U547">
        <f>IF(ISNUMBER(SEARCH('1Př1'!$A$33,N547)),MAX($M$2:M546)+1,0)</f>
        <v>545</v>
      </c>
      <c r="V547" s="325" t="s">
        <v>2539</v>
      </c>
      <c r="W547" t="str">
        <f>IFERROR(VLOOKUP(ROWS($W$3:W547),$U$3:$V$992,2,0),"")</f>
        <v>Výroba ostatních strojů a zařízení pro všeobecné účely j. n.</v>
      </c>
      <c r="X547">
        <f>IF(ISNUMBER(SEARCH('1Př1'!$A$34,N547)),MAX($M$2:M546)+1,0)</f>
        <v>545</v>
      </c>
      <c r="Y547" s="325" t="s">
        <v>2539</v>
      </c>
      <c r="Z547" t="str">
        <f>IFERROR(VLOOKUP(ROWS($Z$3:Z547),$X$3:$Y$992,2,0),"")</f>
        <v>Výroba ostatních strojů a zařízení pro všeobecné účely j. n.</v>
      </c>
    </row>
    <row r="548" spans="13:26">
      <c r="M548" s="324">
        <f>IF(ISNUMBER(SEARCH(ZAKL_DATA!$B$29,N548)),MAX($M$2:M547)+1,0)</f>
        <v>546</v>
      </c>
      <c r="N548" s="325" t="s">
        <v>2541</v>
      </c>
      <c r="O548" s="340" t="s">
        <v>2542</v>
      </c>
      <c r="Q548" s="327" t="str">
        <f>IFERROR(VLOOKUP(ROWS($Q$3:Q548),$M$3:$N$992,2,0),"")</f>
        <v>Výroba kovoobráběcích strojů</v>
      </c>
      <c r="R548">
        <f>IF(ISNUMBER(SEARCH('1Př1'!$A$32,N548)),MAX($M$2:M547)+1,0)</f>
        <v>546</v>
      </c>
      <c r="S548" s="325" t="s">
        <v>2541</v>
      </c>
      <c r="T548" t="str">
        <f>IFERROR(VLOOKUP(ROWS($T$3:T548),$R$3:$S$992,2,0),"")</f>
        <v>Výroba kovoobráběcích strojů</v>
      </c>
      <c r="U548">
        <f>IF(ISNUMBER(SEARCH('1Př1'!$A$33,N548)),MAX($M$2:M547)+1,0)</f>
        <v>546</v>
      </c>
      <c r="V548" s="325" t="s">
        <v>2541</v>
      </c>
      <c r="W548" t="str">
        <f>IFERROR(VLOOKUP(ROWS($W$3:W548),$U$3:$V$992,2,0),"")</f>
        <v>Výroba kovoobráběcích strojů</v>
      </c>
      <c r="X548">
        <f>IF(ISNUMBER(SEARCH('1Př1'!$A$34,N548)),MAX($M$2:M547)+1,0)</f>
        <v>546</v>
      </c>
      <c r="Y548" s="325" t="s">
        <v>2541</v>
      </c>
      <c r="Z548" t="str">
        <f>IFERROR(VLOOKUP(ROWS($Z$3:Z548),$X$3:$Y$992,2,0),"")</f>
        <v>Výroba kovoobráběcích strojů</v>
      </c>
    </row>
    <row r="549" spans="13:26">
      <c r="M549" s="324">
        <f>IF(ISNUMBER(SEARCH(ZAKL_DATA!$B$29,N549)),MAX($M$2:M548)+1,0)</f>
        <v>547</v>
      </c>
      <c r="N549" s="325" t="s">
        <v>2543</v>
      </c>
      <c r="O549" s="340" t="s">
        <v>2544</v>
      </c>
      <c r="Q549" s="327" t="str">
        <f>IFERROR(VLOOKUP(ROWS($Q$3:Q549),$M$3:$N$992,2,0),"")</f>
        <v>Výroba ostatních obráběcích strojů</v>
      </c>
      <c r="R549">
        <f>IF(ISNUMBER(SEARCH('1Př1'!$A$32,N549)),MAX($M$2:M548)+1,0)</f>
        <v>547</v>
      </c>
      <c r="S549" s="325" t="s">
        <v>2543</v>
      </c>
      <c r="T549" t="str">
        <f>IFERROR(VLOOKUP(ROWS($T$3:T549),$R$3:$S$992,2,0),"")</f>
        <v>Výroba ostatních obráběcích strojů</v>
      </c>
      <c r="U549">
        <f>IF(ISNUMBER(SEARCH('1Př1'!$A$33,N549)),MAX($M$2:M548)+1,0)</f>
        <v>547</v>
      </c>
      <c r="V549" s="325" t="s">
        <v>2543</v>
      </c>
      <c r="W549" t="str">
        <f>IFERROR(VLOOKUP(ROWS($W$3:W549),$U$3:$V$992,2,0),"")</f>
        <v>Výroba ostatních obráběcích strojů</v>
      </c>
      <c r="X549">
        <f>IF(ISNUMBER(SEARCH('1Př1'!$A$34,N549)),MAX($M$2:M548)+1,0)</f>
        <v>547</v>
      </c>
      <c r="Y549" s="325" t="s">
        <v>2543</v>
      </c>
      <c r="Z549" t="str">
        <f>IFERROR(VLOOKUP(ROWS($Z$3:Z549),$X$3:$Y$992,2,0),"")</f>
        <v>Výroba ostatních obráběcích strojů</v>
      </c>
    </row>
    <row r="550" spans="13:26">
      <c r="M550" s="324">
        <f>IF(ISNUMBER(SEARCH(ZAKL_DATA!$B$29,N550)),MAX($M$2:M549)+1,0)</f>
        <v>548</v>
      </c>
      <c r="N550" s="325" t="s">
        <v>2545</v>
      </c>
      <c r="O550" s="340" t="s">
        <v>2546</v>
      </c>
      <c r="Q550" s="327" t="str">
        <f>IFERROR(VLOOKUP(ROWS($Q$3:Q550),$M$3:$N$992,2,0),"")</f>
        <v>Výroba strojů pro metalurgii</v>
      </c>
      <c r="R550">
        <f>IF(ISNUMBER(SEARCH('1Př1'!$A$32,N550)),MAX($M$2:M549)+1,0)</f>
        <v>548</v>
      </c>
      <c r="S550" s="325" t="s">
        <v>2545</v>
      </c>
      <c r="T550" t="str">
        <f>IFERROR(VLOOKUP(ROWS($T$3:T550),$R$3:$S$992,2,0),"")</f>
        <v>Výroba strojů pro metalurgii</v>
      </c>
      <c r="U550">
        <f>IF(ISNUMBER(SEARCH('1Př1'!$A$33,N550)),MAX($M$2:M549)+1,0)</f>
        <v>548</v>
      </c>
      <c r="V550" s="325" t="s">
        <v>2545</v>
      </c>
      <c r="W550" t="str">
        <f>IFERROR(VLOOKUP(ROWS($W$3:W550),$U$3:$V$992,2,0),"")</f>
        <v>Výroba strojů pro metalurgii</v>
      </c>
      <c r="X550">
        <f>IF(ISNUMBER(SEARCH('1Př1'!$A$34,N550)),MAX($M$2:M549)+1,0)</f>
        <v>548</v>
      </c>
      <c r="Y550" s="325" t="s">
        <v>2545</v>
      </c>
      <c r="Z550" t="str">
        <f>IFERROR(VLOOKUP(ROWS($Z$3:Z550),$X$3:$Y$992,2,0),"")</f>
        <v>Výroba strojů pro metalurgii</v>
      </c>
    </row>
    <row r="551" spans="13:26">
      <c r="M551" s="324">
        <f>IF(ISNUMBER(SEARCH(ZAKL_DATA!$B$29,N551)),MAX($M$2:M550)+1,0)</f>
        <v>549</v>
      </c>
      <c r="N551" s="325" t="s">
        <v>2547</v>
      </c>
      <c r="O551" s="340" t="s">
        <v>2548</v>
      </c>
      <c r="Q551" s="327" t="str">
        <f>IFERROR(VLOOKUP(ROWS($Q$3:Q551),$M$3:$N$992,2,0),"")</f>
        <v>Výroba strojů pro těžbu, dobývání a stavebnictví</v>
      </c>
      <c r="R551">
        <f>IF(ISNUMBER(SEARCH('1Př1'!$A$32,N551)),MAX($M$2:M550)+1,0)</f>
        <v>549</v>
      </c>
      <c r="S551" s="325" t="s">
        <v>2547</v>
      </c>
      <c r="T551" t="str">
        <f>IFERROR(VLOOKUP(ROWS($T$3:T551),$R$3:$S$992,2,0),"")</f>
        <v>Výroba strojů pro těžbu, dobývání a stavebnictví</v>
      </c>
      <c r="U551">
        <f>IF(ISNUMBER(SEARCH('1Př1'!$A$33,N551)),MAX($M$2:M550)+1,0)</f>
        <v>549</v>
      </c>
      <c r="V551" s="325" t="s">
        <v>2547</v>
      </c>
      <c r="W551" t="str">
        <f>IFERROR(VLOOKUP(ROWS($W$3:W551),$U$3:$V$992,2,0),"")</f>
        <v>Výroba strojů pro těžbu, dobývání a stavebnictví</v>
      </c>
      <c r="X551">
        <f>IF(ISNUMBER(SEARCH('1Př1'!$A$34,N551)),MAX($M$2:M550)+1,0)</f>
        <v>549</v>
      </c>
      <c r="Y551" s="325" t="s">
        <v>2547</v>
      </c>
      <c r="Z551" t="str">
        <f>IFERROR(VLOOKUP(ROWS($Z$3:Z551),$X$3:$Y$992,2,0),"")</f>
        <v>Výroba strojů pro těžbu, dobývání a stavebnictví</v>
      </c>
    </row>
    <row r="552" spans="13:26">
      <c r="M552" s="324">
        <f>IF(ISNUMBER(SEARCH(ZAKL_DATA!$B$29,N552)),MAX($M$2:M551)+1,0)</f>
        <v>550</v>
      </c>
      <c r="N552" s="325" t="s">
        <v>2549</v>
      </c>
      <c r="O552" s="340" t="s">
        <v>2550</v>
      </c>
      <c r="Q552" s="327" t="str">
        <f>IFERROR(VLOOKUP(ROWS($Q$3:Q552),$M$3:$N$992,2,0),"")</f>
        <v>Výroba strojů na výrobu potravin, nápojů a zpracování tabáku</v>
      </c>
      <c r="R552">
        <f>IF(ISNUMBER(SEARCH('1Př1'!$A$32,N552)),MAX($M$2:M551)+1,0)</f>
        <v>550</v>
      </c>
      <c r="S552" s="325" t="s">
        <v>2549</v>
      </c>
      <c r="T552" t="str">
        <f>IFERROR(VLOOKUP(ROWS($T$3:T552),$R$3:$S$992,2,0),"")</f>
        <v>Výroba strojů na výrobu potravin, nápojů a zpracování tabáku</v>
      </c>
      <c r="U552">
        <f>IF(ISNUMBER(SEARCH('1Př1'!$A$33,N552)),MAX($M$2:M551)+1,0)</f>
        <v>550</v>
      </c>
      <c r="V552" s="325" t="s">
        <v>2549</v>
      </c>
      <c r="W552" t="str">
        <f>IFERROR(VLOOKUP(ROWS($W$3:W552),$U$3:$V$992,2,0),"")</f>
        <v>Výroba strojů na výrobu potravin, nápojů a zpracování tabáku</v>
      </c>
      <c r="X552">
        <f>IF(ISNUMBER(SEARCH('1Př1'!$A$34,N552)),MAX($M$2:M551)+1,0)</f>
        <v>550</v>
      </c>
      <c r="Y552" s="325" t="s">
        <v>2549</v>
      </c>
      <c r="Z552" t="str">
        <f>IFERROR(VLOOKUP(ROWS($Z$3:Z552),$X$3:$Y$992,2,0),"")</f>
        <v>Výroba strojů na výrobu potravin, nápojů a zpracování tabáku</v>
      </c>
    </row>
    <row r="553" spans="13:26">
      <c r="M553" s="324">
        <f>IF(ISNUMBER(SEARCH(ZAKL_DATA!$B$29,N553)),MAX($M$2:M552)+1,0)</f>
        <v>551</v>
      </c>
      <c r="N553" s="325" t="s">
        <v>2551</v>
      </c>
      <c r="O553" s="340" t="s">
        <v>2552</v>
      </c>
      <c r="Q553" s="327" t="str">
        <f>IFERROR(VLOOKUP(ROWS($Q$3:Q553),$M$3:$N$992,2,0),"")</f>
        <v>Výroba strojů na výrobu textilu, oděvních výrobků a výrobků z usní</v>
      </c>
      <c r="R553">
        <f>IF(ISNUMBER(SEARCH('1Př1'!$A$32,N553)),MAX($M$2:M552)+1,0)</f>
        <v>551</v>
      </c>
      <c r="S553" s="325" t="s">
        <v>2551</v>
      </c>
      <c r="T553" t="str">
        <f>IFERROR(VLOOKUP(ROWS($T$3:T553),$R$3:$S$992,2,0),"")</f>
        <v>Výroba strojů na výrobu textilu, oděvních výrobků a výrobků z usní</v>
      </c>
      <c r="U553">
        <f>IF(ISNUMBER(SEARCH('1Př1'!$A$33,N553)),MAX($M$2:M552)+1,0)</f>
        <v>551</v>
      </c>
      <c r="V553" s="325" t="s">
        <v>2551</v>
      </c>
      <c r="W553" t="str">
        <f>IFERROR(VLOOKUP(ROWS($W$3:W553),$U$3:$V$992,2,0),"")</f>
        <v>Výroba strojů na výrobu textilu, oděvních výrobků a výrobků z usní</v>
      </c>
      <c r="X553">
        <f>IF(ISNUMBER(SEARCH('1Př1'!$A$34,N553)),MAX($M$2:M552)+1,0)</f>
        <v>551</v>
      </c>
      <c r="Y553" s="325" t="s">
        <v>2551</v>
      </c>
      <c r="Z553" t="str">
        <f>IFERROR(VLOOKUP(ROWS($Z$3:Z553),$X$3:$Y$992,2,0),"")</f>
        <v>Výroba strojů na výrobu textilu, oděvních výrobků a výrobků z usní</v>
      </c>
    </row>
    <row r="554" spans="13:26">
      <c r="M554" s="324">
        <f>IF(ISNUMBER(SEARCH(ZAKL_DATA!$B$29,N554)),MAX($M$2:M553)+1,0)</f>
        <v>552</v>
      </c>
      <c r="N554" s="325" t="s">
        <v>2553</v>
      </c>
      <c r="O554" s="340" t="s">
        <v>2554</v>
      </c>
      <c r="Q554" s="327" t="str">
        <f>IFERROR(VLOOKUP(ROWS($Q$3:Q554),$M$3:$N$992,2,0),"")</f>
        <v>Výroba strojů a přístrojů na výrobu papíru a lepenky</v>
      </c>
      <c r="R554">
        <f>IF(ISNUMBER(SEARCH('1Př1'!$A$32,N554)),MAX($M$2:M553)+1,0)</f>
        <v>552</v>
      </c>
      <c r="S554" s="325" t="s">
        <v>2553</v>
      </c>
      <c r="T554" t="str">
        <f>IFERROR(VLOOKUP(ROWS($T$3:T554),$R$3:$S$992,2,0),"")</f>
        <v>Výroba strojů a přístrojů na výrobu papíru a lepenky</v>
      </c>
      <c r="U554">
        <f>IF(ISNUMBER(SEARCH('1Př1'!$A$33,N554)),MAX($M$2:M553)+1,0)</f>
        <v>552</v>
      </c>
      <c r="V554" s="325" t="s">
        <v>2553</v>
      </c>
      <c r="W554" t="str">
        <f>IFERROR(VLOOKUP(ROWS($W$3:W554),$U$3:$V$992,2,0),"")</f>
        <v>Výroba strojů a přístrojů na výrobu papíru a lepenky</v>
      </c>
      <c r="X554">
        <f>IF(ISNUMBER(SEARCH('1Př1'!$A$34,N554)),MAX($M$2:M553)+1,0)</f>
        <v>552</v>
      </c>
      <c r="Y554" s="325" t="s">
        <v>2553</v>
      </c>
      <c r="Z554" t="str">
        <f>IFERROR(VLOOKUP(ROWS($Z$3:Z554),$X$3:$Y$992,2,0),"")</f>
        <v>Výroba strojů a přístrojů na výrobu papíru a lepenky</v>
      </c>
    </row>
    <row r="555" spans="13:26">
      <c r="M555" s="324">
        <f>IF(ISNUMBER(SEARCH(ZAKL_DATA!$B$29,N555)),MAX($M$2:M554)+1,0)</f>
        <v>553</v>
      </c>
      <c r="N555" s="325" t="s">
        <v>2555</v>
      </c>
      <c r="O555" s="340" t="s">
        <v>2556</v>
      </c>
      <c r="Q555" s="327" t="str">
        <f>IFERROR(VLOOKUP(ROWS($Q$3:Q555),$M$3:$N$992,2,0),"")</f>
        <v>Výroba strojů na výrobu plastů a pryže</v>
      </c>
      <c r="R555">
        <f>IF(ISNUMBER(SEARCH('1Př1'!$A$32,N555)),MAX($M$2:M554)+1,0)</f>
        <v>553</v>
      </c>
      <c r="S555" s="325" t="s">
        <v>2555</v>
      </c>
      <c r="T555" t="str">
        <f>IFERROR(VLOOKUP(ROWS($T$3:T555),$R$3:$S$992,2,0),"")</f>
        <v>Výroba strojů na výrobu plastů a pryže</v>
      </c>
      <c r="U555">
        <f>IF(ISNUMBER(SEARCH('1Př1'!$A$33,N555)),MAX($M$2:M554)+1,0)</f>
        <v>553</v>
      </c>
      <c r="V555" s="325" t="s">
        <v>2555</v>
      </c>
      <c r="W555" t="str">
        <f>IFERROR(VLOOKUP(ROWS($W$3:W555),$U$3:$V$992,2,0),"")</f>
        <v>Výroba strojů na výrobu plastů a pryže</v>
      </c>
      <c r="X555">
        <f>IF(ISNUMBER(SEARCH('1Př1'!$A$34,N555)),MAX($M$2:M554)+1,0)</f>
        <v>553</v>
      </c>
      <c r="Y555" s="325" t="s">
        <v>2555</v>
      </c>
      <c r="Z555" t="str">
        <f>IFERROR(VLOOKUP(ROWS($Z$3:Z555),$X$3:$Y$992,2,0),"")</f>
        <v>Výroba strojů na výrobu plastů a pryže</v>
      </c>
    </row>
    <row r="556" spans="13:26">
      <c r="M556" s="324">
        <f>IF(ISNUMBER(SEARCH(ZAKL_DATA!$B$29,N556)),MAX($M$2:M555)+1,0)</f>
        <v>554</v>
      </c>
      <c r="N556" s="325" t="s">
        <v>2557</v>
      </c>
      <c r="O556" s="340" t="s">
        <v>2558</v>
      </c>
      <c r="Q556" s="327" t="str">
        <f>IFERROR(VLOOKUP(ROWS($Q$3:Q556),$M$3:$N$992,2,0),"")</f>
        <v>Výroba ostatních strojů pro speciální účely j. n.</v>
      </c>
      <c r="R556">
        <f>IF(ISNUMBER(SEARCH('1Př1'!$A$32,N556)),MAX($M$2:M555)+1,0)</f>
        <v>554</v>
      </c>
      <c r="S556" s="325" t="s">
        <v>2557</v>
      </c>
      <c r="T556" t="str">
        <f>IFERROR(VLOOKUP(ROWS($T$3:T556),$R$3:$S$992,2,0),"")</f>
        <v>Výroba ostatních strojů pro speciální účely j. n.</v>
      </c>
      <c r="U556">
        <f>IF(ISNUMBER(SEARCH('1Př1'!$A$33,N556)),MAX($M$2:M555)+1,0)</f>
        <v>554</v>
      </c>
      <c r="V556" s="325" t="s">
        <v>2557</v>
      </c>
      <c r="W556" t="str">
        <f>IFERROR(VLOOKUP(ROWS($W$3:W556),$U$3:$V$992,2,0),"")</f>
        <v>Výroba ostatních strojů pro speciální účely j. n.</v>
      </c>
      <c r="X556">
        <f>IF(ISNUMBER(SEARCH('1Př1'!$A$34,N556)),MAX($M$2:M555)+1,0)</f>
        <v>554</v>
      </c>
      <c r="Y556" s="325" t="s">
        <v>2557</v>
      </c>
      <c r="Z556" t="str">
        <f>IFERROR(VLOOKUP(ROWS($Z$3:Z556),$X$3:$Y$992,2,0),"")</f>
        <v>Výroba ostatních strojů pro speciální účely j. n.</v>
      </c>
    </row>
    <row r="557" spans="13:26">
      <c r="M557" s="324">
        <f>IF(ISNUMBER(SEARCH(ZAKL_DATA!$B$29,N557)),MAX($M$2:M556)+1,0)</f>
        <v>555</v>
      </c>
      <c r="N557" s="325" t="s">
        <v>2559</v>
      </c>
      <c r="O557" s="340" t="s">
        <v>2560</v>
      </c>
      <c r="Q557" s="327" t="str">
        <f>IFERROR(VLOOKUP(ROWS($Q$3:Q557),$M$3:$N$992,2,0),"")</f>
        <v>Výroba elektrického a elektronického zařízení pro motorová vozidla</v>
      </c>
      <c r="R557">
        <f>IF(ISNUMBER(SEARCH('1Př1'!$A$32,N557)),MAX($M$2:M556)+1,0)</f>
        <v>555</v>
      </c>
      <c r="S557" s="325" t="s">
        <v>2559</v>
      </c>
      <c r="T557" t="str">
        <f>IFERROR(VLOOKUP(ROWS($T$3:T557),$R$3:$S$992,2,0),"")</f>
        <v>Výroba elektrického a elektronického zařízení pro motorová vozidla</v>
      </c>
      <c r="U557">
        <f>IF(ISNUMBER(SEARCH('1Př1'!$A$33,N557)),MAX($M$2:M556)+1,0)</f>
        <v>555</v>
      </c>
      <c r="V557" s="325" t="s">
        <v>2559</v>
      </c>
      <c r="W557" t="str">
        <f>IFERROR(VLOOKUP(ROWS($W$3:W557),$U$3:$V$992,2,0),"")</f>
        <v>Výroba elektrického a elektronického zařízení pro motorová vozidla</v>
      </c>
      <c r="X557">
        <f>IF(ISNUMBER(SEARCH('1Př1'!$A$34,N557)),MAX($M$2:M556)+1,0)</f>
        <v>555</v>
      </c>
      <c r="Y557" s="325" t="s">
        <v>2559</v>
      </c>
      <c r="Z557" t="str">
        <f>IFERROR(VLOOKUP(ROWS($Z$3:Z557),$X$3:$Y$992,2,0),"")</f>
        <v>Výroba elektrického a elektronického zařízení pro motorová vozidla</v>
      </c>
    </row>
    <row r="558" spans="13:26">
      <c r="M558" s="324">
        <f>IF(ISNUMBER(SEARCH(ZAKL_DATA!$B$29,N558)),MAX($M$2:M557)+1,0)</f>
        <v>556</v>
      </c>
      <c r="N558" s="325" t="s">
        <v>2561</v>
      </c>
      <c r="O558" s="340" t="s">
        <v>2562</v>
      </c>
      <c r="Q558" s="327" t="str">
        <f>IFERROR(VLOOKUP(ROWS($Q$3:Q558),$M$3:$N$992,2,0),"")</f>
        <v>Výroba ostatních dílů a příslušenství pro motorová vozidla</v>
      </c>
      <c r="R558">
        <f>IF(ISNUMBER(SEARCH('1Př1'!$A$32,N558)),MAX($M$2:M557)+1,0)</f>
        <v>556</v>
      </c>
      <c r="S558" s="325" t="s">
        <v>2561</v>
      </c>
      <c r="T558" t="str">
        <f>IFERROR(VLOOKUP(ROWS($T$3:T558),$R$3:$S$992,2,0),"")</f>
        <v>Výroba ostatních dílů a příslušenství pro motorová vozidla</v>
      </c>
      <c r="U558">
        <f>IF(ISNUMBER(SEARCH('1Př1'!$A$33,N558)),MAX($M$2:M557)+1,0)</f>
        <v>556</v>
      </c>
      <c r="V558" s="325" t="s">
        <v>2561</v>
      </c>
      <c r="W558" t="str">
        <f>IFERROR(VLOOKUP(ROWS($W$3:W558),$U$3:$V$992,2,0),"")</f>
        <v>Výroba ostatních dílů a příslušenství pro motorová vozidla</v>
      </c>
      <c r="X558">
        <f>IF(ISNUMBER(SEARCH('1Př1'!$A$34,N558)),MAX($M$2:M557)+1,0)</f>
        <v>556</v>
      </c>
      <c r="Y558" s="325" t="s">
        <v>2561</v>
      </c>
      <c r="Z558" t="str">
        <f>IFERROR(VLOOKUP(ROWS($Z$3:Z558),$X$3:$Y$992,2,0),"")</f>
        <v>Výroba ostatních dílů a příslušenství pro motorová vozidla</v>
      </c>
    </row>
    <row r="559" spans="13:26">
      <c r="M559" s="324">
        <f>IF(ISNUMBER(SEARCH(ZAKL_DATA!$B$29,N559)),MAX($M$2:M558)+1,0)</f>
        <v>557</v>
      </c>
      <c r="N559" s="325" t="s">
        <v>2563</v>
      </c>
      <c r="O559" s="340" t="s">
        <v>2564</v>
      </c>
      <c r="Q559" s="327" t="str">
        <f>IFERROR(VLOOKUP(ROWS($Q$3:Q559),$M$3:$N$992,2,0),"")</f>
        <v>Stavba lodí a plavidel</v>
      </c>
      <c r="R559">
        <f>IF(ISNUMBER(SEARCH('1Př1'!$A$32,N559)),MAX($M$2:M558)+1,0)</f>
        <v>557</v>
      </c>
      <c r="S559" s="325" t="s">
        <v>2563</v>
      </c>
      <c r="T559" t="str">
        <f>IFERROR(VLOOKUP(ROWS($T$3:T559),$R$3:$S$992,2,0),"")</f>
        <v>Stavba lodí a plavidel</v>
      </c>
      <c r="U559">
        <f>IF(ISNUMBER(SEARCH('1Př1'!$A$33,N559)),MAX($M$2:M558)+1,0)</f>
        <v>557</v>
      </c>
      <c r="V559" s="325" t="s">
        <v>2563</v>
      </c>
      <c r="W559" t="str">
        <f>IFERROR(VLOOKUP(ROWS($W$3:W559),$U$3:$V$992,2,0),"")</f>
        <v>Stavba lodí a plavidel</v>
      </c>
      <c r="X559">
        <f>IF(ISNUMBER(SEARCH('1Př1'!$A$34,N559)),MAX($M$2:M558)+1,0)</f>
        <v>557</v>
      </c>
      <c r="Y559" s="325" t="s">
        <v>2563</v>
      </c>
      <c r="Z559" t="str">
        <f>IFERROR(VLOOKUP(ROWS($Z$3:Z559),$X$3:$Y$992,2,0),"")</f>
        <v>Stavba lodí a plavidel</v>
      </c>
    </row>
    <row r="560" spans="13:26">
      <c r="M560" s="324">
        <f>IF(ISNUMBER(SEARCH(ZAKL_DATA!$B$29,N560)),MAX($M$2:M559)+1,0)</f>
        <v>558</v>
      </c>
      <c r="N560" s="325" t="s">
        <v>2565</v>
      </c>
      <c r="O560" s="340" t="s">
        <v>2566</v>
      </c>
      <c r="Q560" s="327" t="str">
        <f>IFERROR(VLOOKUP(ROWS($Q$3:Q560),$M$3:$N$992,2,0),"")</f>
        <v>Stavba rekreačních a sportovních člunů</v>
      </c>
      <c r="R560">
        <f>IF(ISNUMBER(SEARCH('1Př1'!$A$32,N560)),MAX($M$2:M559)+1,0)</f>
        <v>558</v>
      </c>
      <c r="S560" s="325" t="s">
        <v>2565</v>
      </c>
      <c r="T560" t="str">
        <f>IFERROR(VLOOKUP(ROWS($T$3:T560),$R$3:$S$992,2,0),"")</f>
        <v>Stavba rekreačních a sportovních člunů</v>
      </c>
      <c r="U560">
        <f>IF(ISNUMBER(SEARCH('1Př1'!$A$33,N560)),MAX($M$2:M559)+1,0)</f>
        <v>558</v>
      </c>
      <c r="V560" s="325" t="s">
        <v>2565</v>
      </c>
      <c r="W560" t="str">
        <f>IFERROR(VLOOKUP(ROWS($W$3:W560),$U$3:$V$992,2,0),"")</f>
        <v>Stavba rekreačních a sportovních člunů</v>
      </c>
      <c r="X560">
        <f>IF(ISNUMBER(SEARCH('1Př1'!$A$34,N560)),MAX($M$2:M559)+1,0)</f>
        <v>558</v>
      </c>
      <c r="Y560" s="325" t="s">
        <v>2565</v>
      </c>
      <c r="Z560" t="str">
        <f>IFERROR(VLOOKUP(ROWS($Z$3:Z560),$X$3:$Y$992,2,0),"")</f>
        <v>Stavba rekreačních a sportovních člunů</v>
      </c>
    </row>
    <row r="561" spans="13:26">
      <c r="M561" s="324">
        <f>IF(ISNUMBER(SEARCH(ZAKL_DATA!$B$29,N561)),MAX($M$2:M560)+1,0)</f>
        <v>559</v>
      </c>
      <c r="N561" s="325" t="s">
        <v>2567</v>
      </c>
      <c r="O561" s="340" t="s">
        <v>2568</v>
      </c>
      <c r="Q561" s="327" t="str">
        <f>IFERROR(VLOOKUP(ROWS($Q$3:Q561),$M$3:$N$992,2,0),"")</f>
        <v>Výroba motocyklů</v>
      </c>
      <c r="R561">
        <f>IF(ISNUMBER(SEARCH('1Př1'!$A$32,N561)),MAX($M$2:M560)+1,0)</f>
        <v>559</v>
      </c>
      <c r="S561" s="325" t="s">
        <v>2567</v>
      </c>
      <c r="T561" t="str">
        <f>IFERROR(VLOOKUP(ROWS($T$3:T561),$R$3:$S$992,2,0),"")</f>
        <v>Výroba motocyklů</v>
      </c>
      <c r="U561">
        <f>IF(ISNUMBER(SEARCH('1Př1'!$A$33,N561)),MAX($M$2:M560)+1,0)</f>
        <v>559</v>
      </c>
      <c r="V561" s="325" t="s">
        <v>2567</v>
      </c>
      <c r="W561" t="str">
        <f>IFERROR(VLOOKUP(ROWS($W$3:W561),$U$3:$V$992,2,0),"")</f>
        <v>Výroba motocyklů</v>
      </c>
      <c r="X561">
        <f>IF(ISNUMBER(SEARCH('1Př1'!$A$34,N561)),MAX($M$2:M560)+1,0)</f>
        <v>559</v>
      </c>
      <c r="Y561" s="325" t="s">
        <v>2567</v>
      </c>
      <c r="Z561" t="str">
        <f>IFERROR(VLOOKUP(ROWS($Z$3:Z561),$X$3:$Y$992,2,0),"")</f>
        <v>Výroba motocyklů</v>
      </c>
    </row>
    <row r="562" spans="13:26">
      <c r="M562" s="324">
        <f>IF(ISNUMBER(SEARCH(ZAKL_DATA!$B$29,N562)),MAX($M$2:M561)+1,0)</f>
        <v>560</v>
      </c>
      <c r="N562" s="325" t="s">
        <v>2569</v>
      </c>
      <c r="O562" s="340" t="s">
        <v>2570</v>
      </c>
      <c r="Q562" s="327" t="str">
        <f>IFERROR(VLOOKUP(ROWS($Q$3:Q562),$M$3:$N$992,2,0),"")</f>
        <v>Výroba jízdních kol a vozíků pro invalidy</v>
      </c>
      <c r="R562">
        <f>IF(ISNUMBER(SEARCH('1Př1'!$A$32,N562)),MAX($M$2:M561)+1,0)</f>
        <v>560</v>
      </c>
      <c r="S562" s="325" t="s">
        <v>2569</v>
      </c>
      <c r="T562" t="str">
        <f>IFERROR(VLOOKUP(ROWS($T$3:T562),$R$3:$S$992,2,0),"")</f>
        <v>Výroba jízdních kol a vozíků pro invalidy</v>
      </c>
      <c r="U562">
        <f>IF(ISNUMBER(SEARCH('1Př1'!$A$33,N562)),MAX($M$2:M561)+1,0)</f>
        <v>560</v>
      </c>
      <c r="V562" s="325" t="s">
        <v>2569</v>
      </c>
      <c r="W562" t="str">
        <f>IFERROR(VLOOKUP(ROWS($W$3:W562),$U$3:$V$992,2,0),"")</f>
        <v>Výroba jízdních kol a vozíků pro invalidy</v>
      </c>
      <c r="X562">
        <f>IF(ISNUMBER(SEARCH('1Př1'!$A$34,N562)),MAX($M$2:M561)+1,0)</f>
        <v>560</v>
      </c>
      <c r="Y562" s="325" t="s">
        <v>2569</v>
      </c>
      <c r="Z562" t="str">
        <f>IFERROR(VLOOKUP(ROWS($Z$3:Z562),$X$3:$Y$992,2,0),"")</f>
        <v>Výroba jízdních kol a vozíků pro invalidy</v>
      </c>
    </row>
    <row r="563" spans="13:26">
      <c r="M563" s="324">
        <f>IF(ISNUMBER(SEARCH(ZAKL_DATA!$B$29,N563)),MAX($M$2:M562)+1,0)</f>
        <v>561</v>
      </c>
      <c r="N563" s="325" t="s">
        <v>2571</v>
      </c>
      <c r="O563" s="340" t="s">
        <v>2572</v>
      </c>
      <c r="Q563" s="327" t="str">
        <f>IFERROR(VLOOKUP(ROWS($Q$3:Q563),$M$3:$N$992,2,0),"")</f>
        <v>Výroba ostatních dopravních prostředků a zařízení j. n.</v>
      </c>
      <c r="R563">
        <f>IF(ISNUMBER(SEARCH('1Př1'!$A$32,N563)),MAX($M$2:M562)+1,0)</f>
        <v>561</v>
      </c>
      <c r="S563" s="325" t="s">
        <v>2571</v>
      </c>
      <c r="T563" t="str">
        <f>IFERROR(VLOOKUP(ROWS($T$3:T563),$R$3:$S$992,2,0),"")</f>
        <v>Výroba ostatních dopravních prostředků a zařízení j. n.</v>
      </c>
      <c r="U563">
        <f>IF(ISNUMBER(SEARCH('1Př1'!$A$33,N563)),MAX($M$2:M562)+1,0)</f>
        <v>561</v>
      </c>
      <c r="V563" s="325" t="s">
        <v>2571</v>
      </c>
      <c r="W563" t="str">
        <f>IFERROR(VLOOKUP(ROWS($W$3:W563),$U$3:$V$992,2,0),"")</f>
        <v>Výroba ostatních dopravních prostředků a zařízení j. n.</v>
      </c>
      <c r="X563">
        <f>IF(ISNUMBER(SEARCH('1Př1'!$A$34,N563)),MAX($M$2:M562)+1,0)</f>
        <v>561</v>
      </c>
      <c r="Y563" s="325" t="s">
        <v>2571</v>
      </c>
      <c r="Z563" t="str">
        <f>IFERROR(VLOOKUP(ROWS($Z$3:Z563),$X$3:$Y$992,2,0),"")</f>
        <v>Výroba ostatních dopravních prostředků a zařízení j. n.</v>
      </c>
    </row>
    <row r="564" spans="13:26">
      <c r="M564" s="324">
        <f>IF(ISNUMBER(SEARCH(ZAKL_DATA!$B$29,N564)),MAX($M$2:M563)+1,0)</f>
        <v>562</v>
      </c>
      <c r="N564" s="325" t="s">
        <v>2573</v>
      </c>
      <c r="O564" s="340" t="s">
        <v>2574</v>
      </c>
      <c r="Q564" s="327" t="str">
        <f>IFERROR(VLOOKUP(ROWS($Q$3:Q564),$M$3:$N$992,2,0),"")</f>
        <v>Výroba kancelářského nábytku a zařízení obchodů</v>
      </c>
      <c r="R564">
        <f>IF(ISNUMBER(SEARCH('1Př1'!$A$32,N564)),MAX($M$2:M563)+1,0)</f>
        <v>562</v>
      </c>
      <c r="S564" s="325" t="s">
        <v>2573</v>
      </c>
      <c r="T564" t="str">
        <f>IFERROR(VLOOKUP(ROWS($T$3:T564),$R$3:$S$992,2,0),"")</f>
        <v>Výroba kancelářského nábytku a zařízení obchodů</v>
      </c>
      <c r="U564">
        <f>IF(ISNUMBER(SEARCH('1Př1'!$A$33,N564)),MAX($M$2:M563)+1,0)</f>
        <v>562</v>
      </c>
      <c r="V564" s="325" t="s">
        <v>2573</v>
      </c>
      <c r="W564" t="str">
        <f>IFERROR(VLOOKUP(ROWS($W$3:W564),$U$3:$V$992,2,0),"")</f>
        <v>Výroba kancelářského nábytku a zařízení obchodů</v>
      </c>
      <c r="X564">
        <f>IF(ISNUMBER(SEARCH('1Př1'!$A$34,N564)),MAX($M$2:M563)+1,0)</f>
        <v>562</v>
      </c>
      <c r="Y564" s="325" t="s">
        <v>2573</v>
      </c>
      <c r="Z564" t="str">
        <f>IFERROR(VLOOKUP(ROWS($Z$3:Z564),$X$3:$Y$992,2,0),"")</f>
        <v>Výroba kancelářského nábytku a zařízení obchodů</v>
      </c>
    </row>
    <row r="565" spans="13:26">
      <c r="M565" s="324">
        <f>IF(ISNUMBER(SEARCH(ZAKL_DATA!$B$29,N565)),MAX($M$2:M564)+1,0)</f>
        <v>563</v>
      </c>
      <c r="N565" s="325" t="s">
        <v>2575</v>
      </c>
      <c r="O565" s="340" t="s">
        <v>2576</v>
      </c>
      <c r="Q565" s="327" t="str">
        <f>IFERROR(VLOOKUP(ROWS($Q$3:Q565),$M$3:$N$992,2,0),"")</f>
        <v>Výroba kuchyňského nábytku</v>
      </c>
      <c r="R565">
        <f>IF(ISNUMBER(SEARCH('1Př1'!$A$32,N565)),MAX($M$2:M564)+1,0)</f>
        <v>563</v>
      </c>
      <c r="S565" s="325" t="s">
        <v>2575</v>
      </c>
      <c r="T565" t="str">
        <f>IFERROR(VLOOKUP(ROWS($T$3:T565),$R$3:$S$992,2,0),"")</f>
        <v>Výroba kuchyňského nábytku</v>
      </c>
      <c r="U565">
        <f>IF(ISNUMBER(SEARCH('1Př1'!$A$33,N565)),MAX($M$2:M564)+1,0)</f>
        <v>563</v>
      </c>
      <c r="V565" s="325" t="s">
        <v>2575</v>
      </c>
      <c r="W565" t="str">
        <f>IFERROR(VLOOKUP(ROWS($W$3:W565),$U$3:$V$992,2,0),"")</f>
        <v>Výroba kuchyňského nábytku</v>
      </c>
      <c r="X565">
        <f>IF(ISNUMBER(SEARCH('1Př1'!$A$34,N565)),MAX($M$2:M564)+1,0)</f>
        <v>563</v>
      </c>
      <c r="Y565" s="325" t="s">
        <v>2575</v>
      </c>
      <c r="Z565" t="str">
        <f>IFERROR(VLOOKUP(ROWS($Z$3:Z565),$X$3:$Y$992,2,0),"")</f>
        <v>Výroba kuchyňského nábytku</v>
      </c>
    </row>
    <row r="566" spans="13:26">
      <c r="M566" s="324">
        <f>IF(ISNUMBER(SEARCH(ZAKL_DATA!$B$29,N566)),MAX($M$2:M565)+1,0)</f>
        <v>564</v>
      </c>
      <c r="N566" s="325" t="s">
        <v>2577</v>
      </c>
      <c r="O566" s="340" t="s">
        <v>2578</v>
      </c>
      <c r="Q566" s="327" t="str">
        <f>IFERROR(VLOOKUP(ROWS($Q$3:Q566),$M$3:$N$992,2,0),"")</f>
        <v>Výroba matrací</v>
      </c>
      <c r="R566">
        <f>IF(ISNUMBER(SEARCH('1Př1'!$A$32,N566)),MAX($M$2:M565)+1,0)</f>
        <v>564</v>
      </c>
      <c r="S566" s="325" t="s">
        <v>2577</v>
      </c>
      <c r="T566" t="str">
        <f>IFERROR(VLOOKUP(ROWS($T$3:T566),$R$3:$S$992,2,0),"")</f>
        <v>Výroba matrací</v>
      </c>
      <c r="U566">
        <f>IF(ISNUMBER(SEARCH('1Př1'!$A$33,N566)),MAX($M$2:M565)+1,0)</f>
        <v>564</v>
      </c>
      <c r="V566" s="325" t="s">
        <v>2577</v>
      </c>
      <c r="W566" t="str">
        <f>IFERROR(VLOOKUP(ROWS($W$3:W566),$U$3:$V$992,2,0),"")</f>
        <v>Výroba matrací</v>
      </c>
      <c r="X566">
        <f>IF(ISNUMBER(SEARCH('1Př1'!$A$34,N566)),MAX($M$2:M565)+1,0)</f>
        <v>564</v>
      </c>
      <c r="Y566" s="325" t="s">
        <v>2577</v>
      </c>
      <c r="Z566" t="str">
        <f>IFERROR(VLOOKUP(ROWS($Z$3:Z566),$X$3:$Y$992,2,0),"")</f>
        <v>Výroba matrací</v>
      </c>
    </row>
    <row r="567" spans="13:26">
      <c r="M567" s="324">
        <f>IF(ISNUMBER(SEARCH(ZAKL_DATA!$B$29,N567)),MAX($M$2:M566)+1,0)</f>
        <v>565</v>
      </c>
      <c r="N567" s="325" t="s">
        <v>2579</v>
      </c>
      <c r="O567" s="340" t="s">
        <v>2580</v>
      </c>
      <c r="Q567" s="327" t="str">
        <f>IFERROR(VLOOKUP(ROWS($Q$3:Q567),$M$3:$N$992,2,0),"")</f>
        <v>Výroba ostatního nábytku</v>
      </c>
      <c r="R567">
        <f>IF(ISNUMBER(SEARCH('1Př1'!$A$32,N567)),MAX($M$2:M566)+1,0)</f>
        <v>565</v>
      </c>
      <c r="S567" s="325" t="s">
        <v>2579</v>
      </c>
      <c r="T567" t="str">
        <f>IFERROR(VLOOKUP(ROWS($T$3:T567),$R$3:$S$992,2,0),"")</f>
        <v>Výroba ostatního nábytku</v>
      </c>
      <c r="U567">
        <f>IF(ISNUMBER(SEARCH('1Př1'!$A$33,N567)),MAX($M$2:M566)+1,0)</f>
        <v>565</v>
      </c>
      <c r="V567" s="325" t="s">
        <v>2579</v>
      </c>
      <c r="W567" t="str">
        <f>IFERROR(VLOOKUP(ROWS($W$3:W567),$U$3:$V$992,2,0),"")</f>
        <v>Výroba ostatního nábytku</v>
      </c>
      <c r="X567">
        <f>IF(ISNUMBER(SEARCH('1Př1'!$A$34,N567)),MAX($M$2:M566)+1,0)</f>
        <v>565</v>
      </c>
      <c r="Y567" s="325" t="s">
        <v>2579</v>
      </c>
      <c r="Z567" t="str">
        <f>IFERROR(VLOOKUP(ROWS($Z$3:Z567),$X$3:$Y$992,2,0),"")</f>
        <v>Výroba ostatního nábytku</v>
      </c>
    </row>
    <row r="568" spans="13:26">
      <c r="M568" s="324">
        <f>IF(ISNUMBER(SEARCH(ZAKL_DATA!$B$29,N568)),MAX($M$2:M567)+1,0)</f>
        <v>566</v>
      </c>
      <c r="N568" s="325" t="s">
        <v>2581</v>
      </c>
      <c r="O568" s="340" t="s">
        <v>2582</v>
      </c>
      <c r="Q568" s="327" t="str">
        <f>IFERROR(VLOOKUP(ROWS($Q$3:Q568),$M$3:$N$992,2,0),"")</f>
        <v>Ražení mincí</v>
      </c>
      <c r="R568">
        <f>IF(ISNUMBER(SEARCH('1Př1'!$A$32,N568)),MAX($M$2:M567)+1,0)</f>
        <v>566</v>
      </c>
      <c r="S568" s="325" t="s">
        <v>2581</v>
      </c>
      <c r="T568" t="str">
        <f>IFERROR(VLOOKUP(ROWS($T$3:T568),$R$3:$S$992,2,0),"")</f>
        <v>Ražení mincí</v>
      </c>
      <c r="U568">
        <f>IF(ISNUMBER(SEARCH('1Př1'!$A$33,N568)),MAX($M$2:M567)+1,0)</f>
        <v>566</v>
      </c>
      <c r="V568" s="325" t="s">
        <v>2581</v>
      </c>
      <c r="W568" t="str">
        <f>IFERROR(VLOOKUP(ROWS($W$3:W568),$U$3:$V$992,2,0),"")</f>
        <v>Ražení mincí</v>
      </c>
      <c r="X568">
        <f>IF(ISNUMBER(SEARCH('1Př1'!$A$34,N568)),MAX($M$2:M567)+1,0)</f>
        <v>566</v>
      </c>
      <c r="Y568" s="325" t="s">
        <v>2581</v>
      </c>
      <c r="Z568" t="str">
        <f>IFERROR(VLOOKUP(ROWS($Z$3:Z568),$X$3:$Y$992,2,0),"")</f>
        <v>Ražení mincí</v>
      </c>
    </row>
    <row r="569" spans="13:26">
      <c r="M569" s="324">
        <f>IF(ISNUMBER(SEARCH(ZAKL_DATA!$B$29,N569)),MAX($M$2:M568)+1,0)</f>
        <v>567</v>
      </c>
      <c r="N569" s="325" t="s">
        <v>2583</v>
      </c>
      <c r="O569" s="340" t="s">
        <v>2584</v>
      </c>
      <c r="Q569" s="327" t="str">
        <f>IFERROR(VLOOKUP(ROWS($Q$3:Q569),$M$3:$N$992,2,0),"")</f>
        <v>Výroba klenotů a příbuzných výrobků</v>
      </c>
      <c r="R569">
        <f>IF(ISNUMBER(SEARCH('1Př1'!$A$32,N569)),MAX($M$2:M568)+1,0)</f>
        <v>567</v>
      </c>
      <c r="S569" s="325" t="s">
        <v>2583</v>
      </c>
      <c r="T569" t="str">
        <f>IFERROR(VLOOKUP(ROWS($T$3:T569),$R$3:$S$992,2,0),"")</f>
        <v>Výroba klenotů a příbuzných výrobků</v>
      </c>
      <c r="U569">
        <f>IF(ISNUMBER(SEARCH('1Př1'!$A$33,N569)),MAX($M$2:M568)+1,0)</f>
        <v>567</v>
      </c>
      <c r="V569" s="325" t="s">
        <v>2583</v>
      </c>
      <c r="W569" t="str">
        <f>IFERROR(VLOOKUP(ROWS($W$3:W569),$U$3:$V$992,2,0),"")</f>
        <v>Výroba klenotů a příbuzných výrobků</v>
      </c>
      <c r="X569">
        <f>IF(ISNUMBER(SEARCH('1Př1'!$A$34,N569)),MAX($M$2:M568)+1,0)</f>
        <v>567</v>
      </c>
      <c r="Y569" s="325" t="s">
        <v>2583</v>
      </c>
      <c r="Z569" t="str">
        <f>IFERROR(VLOOKUP(ROWS($Z$3:Z569),$X$3:$Y$992,2,0),"")</f>
        <v>Výroba klenotů a příbuzných výrobků</v>
      </c>
    </row>
    <row r="570" spans="13:26">
      <c r="M570" s="324">
        <f>IF(ISNUMBER(SEARCH(ZAKL_DATA!$B$29,N570)),MAX($M$2:M569)+1,0)</f>
        <v>568</v>
      </c>
      <c r="N570" s="325" t="s">
        <v>2585</v>
      </c>
      <c r="O570" s="340" t="s">
        <v>2586</v>
      </c>
      <c r="Q570" s="327" t="str">
        <f>IFERROR(VLOOKUP(ROWS($Q$3:Q570),$M$3:$N$992,2,0),"")</f>
        <v>Výroba bižuterie a příbuzných výrobků</v>
      </c>
      <c r="R570">
        <f>IF(ISNUMBER(SEARCH('1Př1'!$A$32,N570)),MAX($M$2:M569)+1,0)</f>
        <v>568</v>
      </c>
      <c r="S570" s="325" t="s">
        <v>2585</v>
      </c>
      <c r="T570" t="str">
        <f>IFERROR(VLOOKUP(ROWS($T$3:T570),$R$3:$S$992,2,0),"")</f>
        <v>Výroba bižuterie a příbuzných výrobků</v>
      </c>
      <c r="U570">
        <f>IF(ISNUMBER(SEARCH('1Př1'!$A$33,N570)),MAX($M$2:M569)+1,0)</f>
        <v>568</v>
      </c>
      <c r="V570" s="325" t="s">
        <v>2585</v>
      </c>
      <c r="W570" t="str">
        <f>IFERROR(VLOOKUP(ROWS($W$3:W570),$U$3:$V$992,2,0),"")</f>
        <v>Výroba bižuterie a příbuzných výrobků</v>
      </c>
      <c r="X570">
        <f>IF(ISNUMBER(SEARCH('1Př1'!$A$34,N570)),MAX($M$2:M569)+1,0)</f>
        <v>568</v>
      </c>
      <c r="Y570" s="325" t="s">
        <v>2585</v>
      </c>
      <c r="Z570" t="str">
        <f>IFERROR(VLOOKUP(ROWS($Z$3:Z570),$X$3:$Y$992,2,0),"")</f>
        <v>Výroba bižuterie a příbuzných výrobků</v>
      </c>
    </row>
    <row r="571" spans="13:26">
      <c r="M571" s="324">
        <f>IF(ISNUMBER(SEARCH(ZAKL_DATA!$B$29,N571)),MAX($M$2:M570)+1,0)</f>
        <v>569</v>
      </c>
      <c r="N571" s="325" t="s">
        <v>2587</v>
      </c>
      <c r="O571" s="340" t="s">
        <v>2588</v>
      </c>
      <c r="Q571" s="327" t="str">
        <f>IFERROR(VLOOKUP(ROWS($Q$3:Q571),$M$3:$N$992,2,0),"")</f>
        <v>Výroba košťat a kartáčnických výrobků</v>
      </c>
      <c r="R571">
        <f>IF(ISNUMBER(SEARCH('1Př1'!$A$32,N571)),MAX($M$2:M570)+1,0)</f>
        <v>569</v>
      </c>
      <c r="S571" s="325" t="s">
        <v>2587</v>
      </c>
      <c r="T571" t="str">
        <f>IFERROR(VLOOKUP(ROWS($T$3:T571),$R$3:$S$992,2,0),"")</f>
        <v>Výroba košťat a kartáčnických výrobků</v>
      </c>
      <c r="U571">
        <f>IF(ISNUMBER(SEARCH('1Př1'!$A$33,N571)),MAX($M$2:M570)+1,0)</f>
        <v>569</v>
      </c>
      <c r="V571" s="325" t="s">
        <v>2587</v>
      </c>
      <c r="W571" t="str">
        <f>IFERROR(VLOOKUP(ROWS($W$3:W571),$U$3:$V$992,2,0),"")</f>
        <v>Výroba košťat a kartáčnických výrobků</v>
      </c>
      <c r="X571">
        <f>IF(ISNUMBER(SEARCH('1Př1'!$A$34,N571)),MAX($M$2:M570)+1,0)</f>
        <v>569</v>
      </c>
      <c r="Y571" s="325" t="s">
        <v>2587</v>
      </c>
      <c r="Z571" t="str">
        <f>IFERROR(VLOOKUP(ROWS($Z$3:Z571),$X$3:$Y$992,2,0),"")</f>
        <v>Výroba košťat a kartáčnických výrobků</v>
      </c>
    </row>
    <row r="572" spans="13:26">
      <c r="M572" s="324">
        <f>IF(ISNUMBER(SEARCH(ZAKL_DATA!$B$29,N572)),MAX($M$2:M571)+1,0)</f>
        <v>570</v>
      </c>
      <c r="N572" s="325" t="s">
        <v>2589</v>
      </c>
      <c r="O572" s="340" t="s">
        <v>2590</v>
      </c>
      <c r="Q572" s="327" t="str">
        <f>IFERROR(VLOOKUP(ROWS($Q$3:Q572),$M$3:$N$992,2,0),"")</f>
        <v>Ostatní zpracovatelský průmysl j. n.</v>
      </c>
      <c r="R572">
        <f>IF(ISNUMBER(SEARCH('1Př1'!$A$32,N572)),MAX($M$2:M571)+1,0)</f>
        <v>570</v>
      </c>
      <c r="S572" s="325" t="s">
        <v>2589</v>
      </c>
      <c r="T572" t="str">
        <f>IFERROR(VLOOKUP(ROWS($T$3:T572),$R$3:$S$992,2,0),"")</f>
        <v>Ostatní zpracovatelský průmysl j. n.</v>
      </c>
      <c r="U572">
        <f>IF(ISNUMBER(SEARCH('1Př1'!$A$33,N572)),MAX($M$2:M571)+1,0)</f>
        <v>570</v>
      </c>
      <c r="V572" s="325" t="s">
        <v>2589</v>
      </c>
      <c r="W572" t="str">
        <f>IFERROR(VLOOKUP(ROWS($W$3:W572),$U$3:$V$992,2,0),"")</f>
        <v>Ostatní zpracovatelský průmysl j. n.</v>
      </c>
      <c r="X572">
        <f>IF(ISNUMBER(SEARCH('1Př1'!$A$34,N572)),MAX($M$2:M571)+1,0)</f>
        <v>570</v>
      </c>
      <c r="Y572" s="325" t="s">
        <v>2589</v>
      </c>
      <c r="Z572" t="str">
        <f>IFERROR(VLOOKUP(ROWS($Z$3:Z572),$X$3:$Y$992,2,0),"")</f>
        <v>Ostatní zpracovatelský průmysl j. n.</v>
      </c>
    </row>
    <row r="573" spans="13:26">
      <c r="M573" s="324">
        <f>IF(ISNUMBER(SEARCH(ZAKL_DATA!$B$29,N573)),MAX($M$2:M572)+1,0)</f>
        <v>571</v>
      </c>
      <c r="N573" s="325" t="s">
        <v>2591</v>
      </c>
      <c r="O573" s="340" t="s">
        <v>2592</v>
      </c>
      <c r="Q573" s="327" t="str">
        <f>IFERROR(VLOOKUP(ROWS($Q$3:Q573),$M$3:$N$992,2,0),"")</f>
        <v>Opravy kovodělných výrobků</v>
      </c>
      <c r="R573">
        <f>IF(ISNUMBER(SEARCH('1Př1'!$A$32,N573)),MAX($M$2:M572)+1,0)</f>
        <v>571</v>
      </c>
      <c r="S573" s="325" t="s">
        <v>2591</v>
      </c>
      <c r="T573" t="str">
        <f>IFERROR(VLOOKUP(ROWS($T$3:T573),$R$3:$S$992,2,0),"")</f>
        <v>Opravy kovodělných výrobků</v>
      </c>
      <c r="U573">
        <f>IF(ISNUMBER(SEARCH('1Př1'!$A$33,N573)),MAX($M$2:M572)+1,0)</f>
        <v>571</v>
      </c>
      <c r="V573" s="325" t="s">
        <v>2591</v>
      </c>
      <c r="W573" t="str">
        <f>IFERROR(VLOOKUP(ROWS($W$3:W573),$U$3:$V$992,2,0),"")</f>
        <v>Opravy kovodělných výrobků</v>
      </c>
      <c r="X573">
        <f>IF(ISNUMBER(SEARCH('1Př1'!$A$34,N573)),MAX($M$2:M572)+1,0)</f>
        <v>571</v>
      </c>
      <c r="Y573" s="325" t="s">
        <v>2591</v>
      </c>
      <c r="Z573" t="str">
        <f>IFERROR(VLOOKUP(ROWS($Z$3:Z573),$X$3:$Y$992,2,0),"")</f>
        <v>Opravy kovodělných výrobků</v>
      </c>
    </row>
    <row r="574" spans="13:26">
      <c r="M574" s="324">
        <f>IF(ISNUMBER(SEARCH(ZAKL_DATA!$B$29,N574)),MAX($M$2:M573)+1,0)</f>
        <v>572</v>
      </c>
      <c r="N574" s="325" t="s">
        <v>2593</v>
      </c>
      <c r="O574" s="340" t="s">
        <v>2594</v>
      </c>
      <c r="Q574" s="327" t="str">
        <f>IFERROR(VLOOKUP(ROWS($Q$3:Q574),$M$3:$N$992,2,0),"")</f>
        <v>Opravy strojů</v>
      </c>
      <c r="R574">
        <f>IF(ISNUMBER(SEARCH('1Př1'!$A$32,N574)),MAX($M$2:M573)+1,0)</f>
        <v>572</v>
      </c>
      <c r="S574" s="325" t="s">
        <v>2593</v>
      </c>
      <c r="T574" t="str">
        <f>IFERROR(VLOOKUP(ROWS($T$3:T574),$R$3:$S$992,2,0),"")</f>
        <v>Opravy strojů</v>
      </c>
      <c r="U574">
        <f>IF(ISNUMBER(SEARCH('1Př1'!$A$33,N574)),MAX($M$2:M573)+1,0)</f>
        <v>572</v>
      </c>
      <c r="V574" s="325" t="s">
        <v>2593</v>
      </c>
      <c r="W574" t="str">
        <f>IFERROR(VLOOKUP(ROWS($W$3:W574),$U$3:$V$992,2,0),"")</f>
        <v>Opravy strojů</v>
      </c>
      <c r="X574">
        <f>IF(ISNUMBER(SEARCH('1Př1'!$A$34,N574)),MAX($M$2:M573)+1,0)</f>
        <v>572</v>
      </c>
      <c r="Y574" s="325" t="s">
        <v>2593</v>
      </c>
      <c r="Z574" t="str">
        <f>IFERROR(VLOOKUP(ROWS($Z$3:Z574),$X$3:$Y$992,2,0),"")</f>
        <v>Opravy strojů</v>
      </c>
    </row>
    <row r="575" spans="13:26">
      <c r="M575" s="324">
        <f>IF(ISNUMBER(SEARCH(ZAKL_DATA!$B$29,N575)),MAX($M$2:M574)+1,0)</f>
        <v>573</v>
      </c>
      <c r="N575" s="325" t="s">
        <v>2595</v>
      </c>
      <c r="O575" s="340" t="s">
        <v>2596</v>
      </c>
      <c r="Q575" s="327" t="str">
        <f>IFERROR(VLOOKUP(ROWS($Q$3:Q575),$M$3:$N$992,2,0),"")</f>
        <v>Opravy elektronických a optických přístrojů a zařízení</v>
      </c>
      <c r="R575">
        <f>IF(ISNUMBER(SEARCH('1Př1'!$A$32,N575)),MAX($M$2:M574)+1,0)</f>
        <v>573</v>
      </c>
      <c r="S575" s="325" t="s">
        <v>2595</v>
      </c>
      <c r="T575" t="str">
        <f>IFERROR(VLOOKUP(ROWS($T$3:T575),$R$3:$S$992,2,0),"")</f>
        <v>Opravy elektronických a optických přístrojů a zařízení</v>
      </c>
      <c r="U575">
        <f>IF(ISNUMBER(SEARCH('1Př1'!$A$33,N575)),MAX($M$2:M574)+1,0)</f>
        <v>573</v>
      </c>
      <c r="V575" s="325" t="s">
        <v>2595</v>
      </c>
      <c r="W575" t="str">
        <f>IFERROR(VLOOKUP(ROWS($W$3:W575),$U$3:$V$992,2,0),"")</f>
        <v>Opravy elektronických a optických přístrojů a zařízení</v>
      </c>
      <c r="X575">
        <f>IF(ISNUMBER(SEARCH('1Př1'!$A$34,N575)),MAX($M$2:M574)+1,0)</f>
        <v>573</v>
      </c>
      <c r="Y575" s="325" t="s">
        <v>2595</v>
      </c>
      <c r="Z575" t="str">
        <f>IFERROR(VLOOKUP(ROWS($Z$3:Z575),$X$3:$Y$992,2,0),"")</f>
        <v>Opravy elektronických a optických přístrojů a zařízení</v>
      </c>
    </row>
    <row r="576" spans="13:26">
      <c r="M576" s="324">
        <f>IF(ISNUMBER(SEARCH(ZAKL_DATA!$B$29,N576)),MAX($M$2:M575)+1,0)</f>
        <v>574</v>
      </c>
      <c r="N576" s="325" t="s">
        <v>2597</v>
      </c>
      <c r="O576" s="340" t="s">
        <v>2598</v>
      </c>
      <c r="Q576" s="327" t="str">
        <f>IFERROR(VLOOKUP(ROWS($Q$3:Q576),$M$3:$N$992,2,0),"")</f>
        <v>Opravy elektrických zařízen</v>
      </c>
      <c r="R576">
        <f>IF(ISNUMBER(SEARCH('1Př1'!$A$32,N576)),MAX($M$2:M575)+1,0)</f>
        <v>574</v>
      </c>
      <c r="S576" s="325" t="s">
        <v>2597</v>
      </c>
      <c r="T576" t="str">
        <f>IFERROR(VLOOKUP(ROWS($T$3:T576),$R$3:$S$992,2,0),"")</f>
        <v>Opravy elektrických zařízen</v>
      </c>
      <c r="U576">
        <f>IF(ISNUMBER(SEARCH('1Př1'!$A$33,N576)),MAX($M$2:M575)+1,0)</f>
        <v>574</v>
      </c>
      <c r="V576" s="325" t="s">
        <v>2597</v>
      </c>
      <c r="W576" t="str">
        <f>IFERROR(VLOOKUP(ROWS($W$3:W576),$U$3:$V$992,2,0),"")</f>
        <v>Opravy elektrických zařízen</v>
      </c>
      <c r="X576">
        <f>IF(ISNUMBER(SEARCH('1Př1'!$A$34,N576)),MAX($M$2:M575)+1,0)</f>
        <v>574</v>
      </c>
      <c r="Y576" s="325" t="s">
        <v>2597</v>
      </c>
      <c r="Z576" t="str">
        <f>IFERROR(VLOOKUP(ROWS($Z$3:Z576),$X$3:$Y$992,2,0),"")</f>
        <v>Opravy elektrických zařízen</v>
      </c>
    </row>
    <row r="577" spans="13:26">
      <c r="M577" s="324">
        <f>IF(ISNUMBER(SEARCH(ZAKL_DATA!$B$29,N577)),MAX($M$2:M576)+1,0)</f>
        <v>575</v>
      </c>
      <c r="N577" s="325" t="s">
        <v>2599</v>
      </c>
      <c r="O577" s="340" t="s">
        <v>2600</v>
      </c>
      <c r="Q577" s="327" t="str">
        <f>IFERROR(VLOOKUP(ROWS($Q$3:Q577),$M$3:$N$992,2,0),"")</f>
        <v>Opravy a údržba lodí a člunů</v>
      </c>
      <c r="R577">
        <f>IF(ISNUMBER(SEARCH('1Př1'!$A$32,N577)),MAX($M$2:M576)+1,0)</f>
        <v>575</v>
      </c>
      <c r="S577" s="325" t="s">
        <v>2599</v>
      </c>
      <c r="T577" t="str">
        <f>IFERROR(VLOOKUP(ROWS($T$3:T577),$R$3:$S$992,2,0),"")</f>
        <v>Opravy a údržba lodí a člunů</v>
      </c>
      <c r="U577">
        <f>IF(ISNUMBER(SEARCH('1Př1'!$A$33,N577)),MAX($M$2:M576)+1,0)</f>
        <v>575</v>
      </c>
      <c r="V577" s="325" t="s">
        <v>2599</v>
      </c>
      <c r="W577" t="str">
        <f>IFERROR(VLOOKUP(ROWS($W$3:W577),$U$3:$V$992,2,0),"")</f>
        <v>Opravy a údržba lodí a člunů</v>
      </c>
      <c r="X577">
        <f>IF(ISNUMBER(SEARCH('1Př1'!$A$34,N577)),MAX($M$2:M576)+1,0)</f>
        <v>575</v>
      </c>
      <c r="Y577" s="325" t="s">
        <v>2599</v>
      </c>
      <c r="Z577" t="str">
        <f>IFERROR(VLOOKUP(ROWS($Z$3:Z577),$X$3:$Y$992,2,0),"")</f>
        <v>Opravy a údržba lodí a člunů</v>
      </c>
    </row>
    <row r="578" spans="13:26">
      <c r="M578" s="324">
        <f>IF(ISNUMBER(SEARCH(ZAKL_DATA!$B$29,N578)),MAX($M$2:M577)+1,0)</f>
        <v>576</v>
      </c>
      <c r="N578" s="325" t="s">
        <v>2601</v>
      </c>
      <c r="O578" s="340" t="s">
        <v>2602</v>
      </c>
      <c r="Q578" s="327" t="str">
        <f>IFERROR(VLOOKUP(ROWS($Q$3:Q578),$M$3:$N$992,2,0),"")</f>
        <v>Opravy a údržba letadel a kosmických lodí</v>
      </c>
      <c r="R578">
        <f>IF(ISNUMBER(SEARCH('1Př1'!$A$32,N578)),MAX($M$2:M577)+1,0)</f>
        <v>576</v>
      </c>
      <c r="S578" s="325" t="s">
        <v>2601</v>
      </c>
      <c r="T578" t="str">
        <f>IFERROR(VLOOKUP(ROWS($T$3:T578),$R$3:$S$992,2,0),"")</f>
        <v>Opravy a údržba letadel a kosmických lodí</v>
      </c>
      <c r="U578">
        <f>IF(ISNUMBER(SEARCH('1Př1'!$A$33,N578)),MAX($M$2:M577)+1,0)</f>
        <v>576</v>
      </c>
      <c r="V578" s="325" t="s">
        <v>2601</v>
      </c>
      <c r="W578" t="str">
        <f>IFERROR(VLOOKUP(ROWS($W$3:W578),$U$3:$V$992,2,0),"")</f>
        <v>Opravy a údržba letadel a kosmických lodí</v>
      </c>
      <c r="X578">
        <f>IF(ISNUMBER(SEARCH('1Př1'!$A$34,N578)),MAX($M$2:M577)+1,0)</f>
        <v>576</v>
      </c>
      <c r="Y578" s="325" t="s">
        <v>2601</v>
      </c>
      <c r="Z578" t="str">
        <f>IFERROR(VLOOKUP(ROWS($Z$3:Z578),$X$3:$Y$992,2,0),"")</f>
        <v>Opravy a údržba letadel a kosmických lodí</v>
      </c>
    </row>
    <row r="579" spans="13:26">
      <c r="M579" s="324">
        <f>IF(ISNUMBER(SEARCH(ZAKL_DATA!$B$29,N579)),MAX($M$2:M578)+1,0)</f>
        <v>577</v>
      </c>
      <c r="N579" s="325" t="s">
        <v>2603</v>
      </c>
      <c r="O579" s="340" t="s">
        <v>2604</v>
      </c>
      <c r="Q579" s="327" t="str">
        <f>IFERROR(VLOOKUP(ROWS($Q$3:Q579),$M$3:$N$992,2,0),"")</f>
        <v>Opravy a údržba ostatních dopravních prostředků a zařízení j. n.</v>
      </c>
      <c r="R579">
        <f>IF(ISNUMBER(SEARCH('1Př1'!$A$32,N579)),MAX($M$2:M578)+1,0)</f>
        <v>577</v>
      </c>
      <c r="S579" s="325" t="s">
        <v>2603</v>
      </c>
      <c r="T579" t="str">
        <f>IFERROR(VLOOKUP(ROWS($T$3:T579),$R$3:$S$992,2,0),"")</f>
        <v>Opravy a údržba ostatních dopravních prostředků a zařízení j. n.</v>
      </c>
      <c r="U579">
        <f>IF(ISNUMBER(SEARCH('1Př1'!$A$33,N579)),MAX($M$2:M578)+1,0)</f>
        <v>577</v>
      </c>
      <c r="V579" s="325" t="s">
        <v>2603</v>
      </c>
      <c r="W579" t="str">
        <f>IFERROR(VLOOKUP(ROWS($W$3:W579),$U$3:$V$992,2,0),"")</f>
        <v>Opravy a údržba ostatních dopravních prostředků a zařízení j. n.</v>
      </c>
      <c r="X579">
        <f>IF(ISNUMBER(SEARCH('1Př1'!$A$34,N579)),MAX($M$2:M578)+1,0)</f>
        <v>577</v>
      </c>
      <c r="Y579" s="325" t="s">
        <v>2603</v>
      </c>
      <c r="Z579" t="str">
        <f>IFERROR(VLOOKUP(ROWS($Z$3:Z579),$X$3:$Y$992,2,0),"")</f>
        <v>Opravy a údržba ostatních dopravních prostředků a zařízení j. n.</v>
      </c>
    </row>
    <row r="580" spans="13:26">
      <c r="M580" s="324">
        <f>IF(ISNUMBER(SEARCH(ZAKL_DATA!$B$29,N580)),MAX($M$2:M579)+1,0)</f>
        <v>578</v>
      </c>
      <c r="N580" s="325" t="s">
        <v>2605</v>
      </c>
      <c r="O580" s="340" t="s">
        <v>2606</v>
      </c>
      <c r="Q580" s="327" t="str">
        <f>IFERROR(VLOOKUP(ROWS($Q$3:Q580),$M$3:$N$992,2,0),"")</f>
        <v>Opravy ostatních zařízení</v>
      </c>
      <c r="R580">
        <f>IF(ISNUMBER(SEARCH('1Př1'!$A$32,N580)),MAX($M$2:M579)+1,0)</f>
        <v>578</v>
      </c>
      <c r="S580" s="325" t="s">
        <v>2605</v>
      </c>
      <c r="T580" t="str">
        <f>IFERROR(VLOOKUP(ROWS($T$3:T580),$R$3:$S$992,2,0),"")</f>
        <v>Opravy ostatních zařízení</v>
      </c>
      <c r="U580">
        <f>IF(ISNUMBER(SEARCH('1Př1'!$A$33,N580)),MAX($M$2:M579)+1,0)</f>
        <v>578</v>
      </c>
      <c r="V580" s="325" t="s">
        <v>2605</v>
      </c>
      <c r="W580" t="str">
        <f>IFERROR(VLOOKUP(ROWS($W$3:W580),$U$3:$V$992,2,0),"")</f>
        <v>Opravy ostatních zařízení</v>
      </c>
      <c r="X580">
        <f>IF(ISNUMBER(SEARCH('1Př1'!$A$34,N580)),MAX($M$2:M579)+1,0)</f>
        <v>578</v>
      </c>
      <c r="Y580" s="325" t="s">
        <v>2605</v>
      </c>
      <c r="Z580" t="str">
        <f>IFERROR(VLOOKUP(ROWS($Z$3:Z580),$X$3:$Y$992,2,0),"")</f>
        <v>Opravy ostatních zařízení</v>
      </c>
    </row>
    <row r="581" spans="13:26">
      <c r="M581" s="324">
        <f>IF(ISNUMBER(SEARCH(ZAKL_DATA!$B$29,N581)),MAX($M$2:M580)+1,0)</f>
        <v>579</v>
      </c>
      <c r="N581" s="325" t="s">
        <v>2607</v>
      </c>
      <c r="O581" s="340" t="s">
        <v>2608</v>
      </c>
      <c r="Q581" s="327" t="str">
        <f>IFERROR(VLOOKUP(ROWS($Q$3:Q581),$M$3:$N$992,2,0),"")</f>
        <v>Výroba elektřiny</v>
      </c>
      <c r="R581">
        <f>IF(ISNUMBER(SEARCH('1Př1'!$A$32,N581)),MAX($M$2:M580)+1,0)</f>
        <v>579</v>
      </c>
      <c r="S581" s="325" t="s">
        <v>2607</v>
      </c>
      <c r="T581" t="str">
        <f>IFERROR(VLOOKUP(ROWS($T$3:T581),$R$3:$S$992,2,0),"")</f>
        <v>Výroba elektřiny</v>
      </c>
      <c r="U581">
        <f>IF(ISNUMBER(SEARCH('1Př1'!$A$33,N581)),MAX($M$2:M580)+1,0)</f>
        <v>579</v>
      </c>
      <c r="V581" s="325" t="s">
        <v>2607</v>
      </c>
      <c r="W581" t="str">
        <f>IFERROR(VLOOKUP(ROWS($W$3:W581),$U$3:$V$992,2,0),"")</f>
        <v>Výroba elektřiny</v>
      </c>
      <c r="X581">
        <f>IF(ISNUMBER(SEARCH('1Př1'!$A$34,N581)),MAX($M$2:M580)+1,0)</f>
        <v>579</v>
      </c>
      <c r="Y581" s="325" t="s">
        <v>2607</v>
      </c>
      <c r="Z581" t="str">
        <f>IFERROR(VLOOKUP(ROWS($Z$3:Z581),$X$3:$Y$992,2,0),"")</f>
        <v>Výroba elektřiny</v>
      </c>
    </row>
    <row r="582" spans="13:26">
      <c r="M582" s="324">
        <f>IF(ISNUMBER(SEARCH(ZAKL_DATA!$B$29,N582)),MAX($M$2:M581)+1,0)</f>
        <v>580</v>
      </c>
      <c r="N582" s="325" t="s">
        <v>2609</v>
      </c>
      <c r="O582" s="340" t="s">
        <v>2610</v>
      </c>
      <c r="Q582" s="327" t="str">
        <f>IFERROR(VLOOKUP(ROWS($Q$3:Q582),$M$3:$N$992,2,0),"")</f>
        <v>Přenos elektřiny</v>
      </c>
      <c r="R582">
        <f>IF(ISNUMBER(SEARCH('1Př1'!$A$32,N582)),MAX($M$2:M581)+1,0)</f>
        <v>580</v>
      </c>
      <c r="S582" s="325" t="s">
        <v>2609</v>
      </c>
      <c r="T582" t="str">
        <f>IFERROR(VLOOKUP(ROWS($T$3:T582),$R$3:$S$992,2,0),"")</f>
        <v>Přenos elektřiny</v>
      </c>
      <c r="U582">
        <f>IF(ISNUMBER(SEARCH('1Př1'!$A$33,N582)),MAX($M$2:M581)+1,0)</f>
        <v>580</v>
      </c>
      <c r="V582" s="325" t="s">
        <v>2609</v>
      </c>
      <c r="W582" t="str">
        <f>IFERROR(VLOOKUP(ROWS($W$3:W582),$U$3:$V$992,2,0),"")</f>
        <v>Přenos elektřiny</v>
      </c>
      <c r="X582">
        <f>IF(ISNUMBER(SEARCH('1Př1'!$A$34,N582)),MAX($M$2:M581)+1,0)</f>
        <v>580</v>
      </c>
      <c r="Y582" s="325" t="s">
        <v>2609</v>
      </c>
      <c r="Z582" t="str">
        <f>IFERROR(VLOOKUP(ROWS($Z$3:Z582),$X$3:$Y$992,2,0),"")</f>
        <v>Přenos elektřiny</v>
      </c>
    </row>
    <row r="583" spans="13:26">
      <c r="M583" s="324">
        <f>IF(ISNUMBER(SEARCH(ZAKL_DATA!$B$29,N583)),MAX($M$2:M582)+1,0)</f>
        <v>581</v>
      </c>
      <c r="N583" s="325" t="s">
        <v>2611</v>
      </c>
      <c r="O583" s="340" t="s">
        <v>2612</v>
      </c>
      <c r="Q583" s="327" t="str">
        <f>IFERROR(VLOOKUP(ROWS($Q$3:Q583),$M$3:$N$992,2,0),"")</f>
        <v>Rozvod elektřiny</v>
      </c>
      <c r="R583">
        <f>IF(ISNUMBER(SEARCH('1Př1'!$A$32,N583)),MAX($M$2:M582)+1,0)</f>
        <v>581</v>
      </c>
      <c r="S583" s="325" t="s">
        <v>2611</v>
      </c>
      <c r="T583" t="str">
        <f>IFERROR(VLOOKUP(ROWS($T$3:T583),$R$3:$S$992,2,0),"")</f>
        <v>Rozvod elektřiny</v>
      </c>
      <c r="U583">
        <f>IF(ISNUMBER(SEARCH('1Př1'!$A$33,N583)),MAX($M$2:M582)+1,0)</f>
        <v>581</v>
      </c>
      <c r="V583" s="325" t="s">
        <v>2611</v>
      </c>
      <c r="W583" t="str">
        <f>IFERROR(VLOOKUP(ROWS($W$3:W583),$U$3:$V$992,2,0),"")</f>
        <v>Rozvod elektřiny</v>
      </c>
      <c r="X583">
        <f>IF(ISNUMBER(SEARCH('1Př1'!$A$34,N583)),MAX($M$2:M582)+1,0)</f>
        <v>581</v>
      </c>
      <c r="Y583" s="325" t="s">
        <v>2611</v>
      </c>
      <c r="Z583" t="str">
        <f>IFERROR(VLOOKUP(ROWS($Z$3:Z583),$X$3:$Y$992,2,0),"")</f>
        <v>Rozvod elektřiny</v>
      </c>
    </row>
    <row r="584" spans="13:26">
      <c r="M584" s="324">
        <f>IF(ISNUMBER(SEARCH(ZAKL_DATA!$B$29,N584)),MAX($M$2:M583)+1,0)</f>
        <v>582</v>
      </c>
      <c r="N584" s="325" t="s">
        <v>2613</v>
      </c>
      <c r="O584" s="340" t="s">
        <v>2614</v>
      </c>
      <c r="Q584" s="327" t="str">
        <f>IFERROR(VLOOKUP(ROWS($Q$3:Q584),$M$3:$N$992,2,0),"")</f>
        <v>Obchod s elektřinou</v>
      </c>
      <c r="R584">
        <f>IF(ISNUMBER(SEARCH('1Př1'!$A$32,N584)),MAX($M$2:M583)+1,0)</f>
        <v>582</v>
      </c>
      <c r="S584" s="325" t="s">
        <v>2613</v>
      </c>
      <c r="T584" t="str">
        <f>IFERROR(VLOOKUP(ROWS($T$3:T584),$R$3:$S$992,2,0),"")</f>
        <v>Obchod s elektřinou</v>
      </c>
      <c r="U584">
        <f>IF(ISNUMBER(SEARCH('1Př1'!$A$33,N584)),MAX($M$2:M583)+1,0)</f>
        <v>582</v>
      </c>
      <c r="V584" s="325" t="s">
        <v>2613</v>
      </c>
      <c r="W584" t="str">
        <f>IFERROR(VLOOKUP(ROWS($W$3:W584),$U$3:$V$992,2,0),"")</f>
        <v>Obchod s elektřinou</v>
      </c>
      <c r="X584">
        <f>IF(ISNUMBER(SEARCH('1Př1'!$A$34,N584)),MAX($M$2:M583)+1,0)</f>
        <v>582</v>
      </c>
      <c r="Y584" s="325" t="s">
        <v>2613</v>
      </c>
      <c r="Z584" t="str">
        <f>IFERROR(VLOOKUP(ROWS($Z$3:Z584),$X$3:$Y$992,2,0),"")</f>
        <v>Obchod s elektřinou</v>
      </c>
    </row>
    <row r="585" spans="13:26">
      <c r="M585" s="324">
        <f>IF(ISNUMBER(SEARCH(ZAKL_DATA!$B$29,N585)),MAX($M$2:M584)+1,0)</f>
        <v>583</v>
      </c>
      <c r="N585" s="325" t="s">
        <v>2615</v>
      </c>
      <c r="O585" s="340" t="s">
        <v>2616</v>
      </c>
      <c r="Q585" s="327" t="str">
        <f>IFERROR(VLOOKUP(ROWS($Q$3:Q585),$M$3:$N$992,2,0),"")</f>
        <v>Výroba plynu</v>
      </c>
      <c r="R585">
        <f>IF(ISNUMBER(SEARCH('1Př1'!$A$32,N585)),MAX($M$2:M584)+1,0)</f>
        <v>583</v>
      </c>
      <c r="S585" s="325" t="s">
        <v>2615</v>
      </c>
      <c r="T585" t="str">
        <f>IFERROR(VLOOKUP(ROWS($T$3:T585),$R$3:$S$992,2,0),"")</f>
        <v>Výroba plynu</v>
      </c>
      <c r="U585">
        <f>IF(ISNUMBER(SEARCH('1Př1'!$A$33,N585)),MAX($M$2:M584)+1,0)</f>
        <v>583</v>
      </c>
      <c r="V585" s="325" t="s">
        <v>2615</v>
      </c>
      <c r="W585" t="str">
        <f>IFERROR(VLOOKUP(ROWS($W$3:W585),$U$3:$V$992,2,0),"")</f>
        <v>Výroba plynu</v>
      </c>
      <c r="X585">
        <f>IF(ISNUMBER(SEARCH('1Př1'!$A$34,N585)),MAX($M$2:M584)+1,0)</f>
        <v>583</v>
      </c>
      <c r="Y585" s="325" t="s">
        <v>2615</v>
      </c>
      <c r="Z585" t="str">
        <f>IFERROR(VLOOKUP(ROWS($Z$3:Z585),$X$3:$Y$992,2,0),"")</f>
        <v>Výroba plynu</v>
      </c>
    </row>
    <row r="586" spans="13:26">
      <c r="M586" s="324">
        <f>IF(ISNUMBER(SEARCH(ZAKL_DATA!$B$29,N586)),MAX($M$2:M585)+1,0)</f>
        <v>584</v>
      </c>
      <c r="N586" s="325" t="s">
        <v>2617</v>
      </c>
      <c r="O586" s="340" t="s">
        <v>2618</v>
      </c>
      <c r="Q586" s="327" t="str">
        <f>IFERROR(VLOOKUP(ROWS($Q$3:Q586),$M$3:$N$992,2,0),"")</f>
        <v>Rozvod plynných paliv prostřednictvím sítí</v>
      </c>
      <c r="R586">
        <f>IF(ISNUMBER(SEARCH('1Př1'!$A$32,N586)),MAX($M$2:M585)+1,0)</f>
        <v>584</v>
      </c>
      <c r="S586" s="325" t="s">
        <v>2617</v>
      </c>
      <c r="T586" t="str">
        <f>IFERROR(VLOOKUP(ROWS($T$3:T586),$R$3:$S$992,2,0),"")</f>
        <v>Rozvod plynných paliv prostřednictvím sítí</v>
      </c>
      <c r="U586">
        <f>IF(ISNUMBER(SEARCH('1Př1'!$A$33,N586)),MAX($M$2:M585)+1,0)</f>
        <v>584</v>
      </c>
      <c r="V586" s="325" t="s">
        <v>2617</v>
      </c>
      <c r="W586" t="str">
        <f>IFERROR(VLOOKUP(ROWS($W$3:W586),$U$3:$V$992,2,0),"")</f>
        <v>Rozvod plynných paliv prostřednictvím sítí</v>
      </c>
      <c r="X586">
        <f>IF(ISNUMBER(SEARCH('1Př1'!$A$34,N586)),MAX($M$2:M585)+1,0)</f>
        <v>584</v>
      </c>
      <c r="Y586" s="325" t="s">
        <v>2617</v>
      </c>
      <c r="Z586" t="str">
        <f>IFERROR(VLOOKUP(ROWS($Z$3:Z586),$X$3:$Y$992,2,0),"")</f>
        <v>Rozvod plynných paliv prostřednictvím sítí</v>
      </c>
    </row>
    <row r="587" spans="13:26">
      <c r="M587" s="324">
        <f>IF(ISNUMBER(SEARCH(ZAKL_DATA!$B$29,N587)),MAX($M$2:M586)+1,0)</f>
        <v>585</v>
      </c>
      <c r="N587" s="325" t="s">
        <v>2619</v>
      </c>
      <c r="O587" s="340" t="s">
        <v>2620</v>
      </c>
      <c r="Q587" s="327" t="str">
        <f>IFERROR(VLOOKUP(ROWS($Q$3:Q587),$M$3:$N$992,2,0),"")</f>
        <v>Obchod s plynem prostřednictvím sítí</v>
      </c>
      <c r="R587">
        <f>IF(ISNUMBER(SEARCH('1Př1'!$A$32,N587)),MAX($M$2:M586)+1,0)</f>
        <v>585</v>
      </c>
      <c r="S587" s="325" t="s">
        <v>2619</v>
      </c>
      <c r="T587" t="str">
        <f>IFERROR(VLOOKUP(ROWS($T$3:T587),$R$3:$S$992,2,0),"")</f>
        <v>Obchod s plynem prostřednictvím sítí</v>
      </c>
      <c r="U587">
        <f>IF(ISNUMBER(SEARCH('1Př1'!$A$33,N587)),MAX($M$2:M586)+1,0)</f>
        <v>585</v>
      </c>
      <c r="V587" s="325" t="s">
        <v>2619</v>
      </c>
      <c r="W587" t="str">
        <f>IFERROR(VLOOKUP(ROWS($W$3:W587),$U$3:$V$992,2,0),"")</f>
        <v>Obchod s plynem prostřednictvím sítí</v>
      </c>
      <c r="X587">
        <f>IF(ISNUMBER(SEARCH('1Př1'!$A$34,N587)),MAX($M$2:M586)+1,0)</f>
        <v>585</v>
      </c>
      <c r="Y587" s="325" t="s">
        <v>2619</v>
      </c>
      <c r="Z587" t="str">
        <f>IFERROR(VLOOKUP(ROWS($Z$3:Z587),$X$3:$Y$992,2,0),"")</f>
        <v>Obchod s plynem prostřednictvím sítí</v>
      </c>
    </row>
    <row r="588" spans="13:26">
      <c r="M588" s="324">
        <f>IF(ISNUMBER(SEARCH(ZAKL_DATA!$B$29,N588)),MAX($M$2:M587)+1,0)</f>
        <v>586</v>
      </c>
      <c r="N588" s="325" t="s">
        <v>2621</v>
      </c>
      <c r="O588" s="340" t="s">
        <v>2622</v>
      </c>
      <c r="Q588" s="327" t="str">
        <f>IFERROR(VLOOKUP(ROWS($Q$3:Q588),$M$3:$N$992,2,0),"")</f>
        <v>Shromažďování a sběr odpadů, kromě nebezpečných</v>
      </c>
      <c r="R588">
        <f>IF(ISNUMBER(SEARCH('1Př1'!$A$32,N588)),MAX($M$2:M587)+1,0)</f>
        <v>586</v>
      </c>
      <c r="S588" s="325" t="s">
        <v>2621</v>
      </c>
      <c r="T588" t="str">
        <f>IFERROR(VLOOKUP(ROWS($T$3:T588),$R$3:$S$992,2,0),"")</f>
        <v>Shromažďování a sběr odpadů, kromě nebezpečných</v>
      </c>
      <c r="U588">
        <f>IF(ISNUMBER(SEARCH('1Př1'!$A$33,N588)),MAX($M$2:M587)+1,0)</f>
        <v>586</v>
      </c>
      <c r="V588" s="325" t="s">
        <v>2621</v>
      </c>
      <c r="W588" t="str">
        <f>IFERROR(VLOOKUP(ROWS($W$3:W588),$U$3:$V$992,2,0),"")</f>
        <v>Shromažďování a sběr odpadů, kromě nebezpečných</v>
      </c>
      <c r="X588">
        <f>IF(ISNUMBER(SEARCH('1Př1'!$A$34,N588)),MAX($M$2:M587)+1,0)</f>
        <v>586</v>
      </c>
      <c r="Y588" s="325" t="s">
        <v>2621</v>
      </c>
      <c r="Z588" t="str">
        <f>IFERROR(VLOOKUP(ROWS($Z$3:Z588),$X$3:$Y$992,2,0),"")</f>
        <v>Shromažďování a sběr odpadů, kromě nebezpečných</v>
      </c>
    </row>
    <row r="589" spans="13:26">
      <c r="M589" s="324">
        <f>IF(ISNUMBER(SEARCH(ZAKL_DATA!$B$29,N589)),MAX($M$2:M588)+1,0)</f>
        <v>587</v>
      </c>
      <c r="N589" s="325" t="s">
        <v>2623</v>
      </c>
      <c r="O589" s="340" t="s">
        <v>2624</v>
      </c>
      <c r="Q589" s="327" t="str">
        <f>IFERROR(VLOOKUP(ROWS($Q$3:Q589),$M$3:$N$992,2,0),"")</f>
        <v>Shromažďování a sběr nebezpečných odpadů</v>
      </c>
      <c r="R589">
        <f>IF(ISNUMBER(SEARCH('1Př1'!$A$32,N589)),MAX($M$2:M588)+1,0)</f>
        <v>587</v>
      </c>
      <c r="S589" s="325" t="s">
        <v>2623</v>
      </c>
      <c r="T589" t="str">
        <f>IFERROR(VLOOKUP(ROWS($T$3:T589),$R$3:$S$992,2,0),"")</f>
        <v>Shromažďování a sběr nebezpečných odpadů</v>
      </c>
      <c r="U589">
        <f>IF(ISNUMBER(SEARCH('1Př1'!$A$33,N589)),MAX($M$2:M588)+1,0)</f>
        <v>587</v>
      </c>
      <c r="V589" s="325" t="s">
        <v>2623</v>
      </c>
      <c r="W589" t="str">
        <f>IFERROR(VLOOKUP(ROWS($W$3:W589),$U$3:$V$992,2,0),"")</f>
        <v>Shromažďování a sběr nebezpečných odpadů</v>
      </c>
      <c r="X589">
        <f>IF(ISNUMBER(SEARCH('1Př1'!$A$34,N589)),MAX($M$2:M588)+1,0)</f>
        <v>587</v>
      </c>
      <c r="Y589" s="325" t="s">
        <v>2623</v>
      </c>
      <c r="Z589" t="str">
        <f>IFERROR(VLOOKUP(ROWS($Z$3:Z589),$X$3:$Y$992,2,0),"")</f>
        <v>Shromažďování a sběr nebezpečných odpadů</v>
      </c>
    </row>
    <row r="590" spans="13:26">
      <c r="M590" s="324">
        <f>IF(ISNUMBER(SEARCH(ZAKL_DATA!$B$29,N590)),MAX($M$2:M589)+1,0)</f>
        <v>588</v>
      </c>
      <c r="N590" s="325" t="s">
        <v>2625</v>
      </c>
      <c r="O590" s="340" t="s">
        <v>2626</v>
      </c>
      <c r="Q590" s="327" t="str">
        <f>IFERROR(VLOOKUP(ROWS($Q$3:Q590),$M$3:$N$992,2,0),"")</f>
        <v>Odstraňování odpadů, kromě nebezpečných</v>
      </c>
      <c r="R590">
        <f>IF(ISNUMBER(SEARCH('1Př1'!$A$32,N590)),MAX($M$2:M589)+1,0)</f>
        <v>588</v>
      </c>
      <c r="S590" s="325" t="s">
        <v>2625</v>
      </c>
      <c r="T590" t="str">
        <f>IFERROR(VLOOKUP(ROWS($T$3:T590),$R$3:$S$992,2,0),"")</f>
        <v>Odstraňování odpadů, kromě nebezpečných</v>
      </c>
      <c r="U590">
        <f>IF(ISNUMBER(SEARCH('1Př1'!$A$33,N590)),MAX($M$2:M589)+1,0)</f>
        <v>588</v>
      </c>
      <c r="V590" s="325" t="s">
        <v>2625</v>
      </c>
      <c r="W590" t="str">
        <f>IFERROR(VLOOKUP(ROWS($W$3:W590),$U$3:$V$992,2,0),"")</f>
        <v>Odstraňování odpadů, kromě nebezpečných</v>
      </c>
      <c r="X590">
        <f>IF(ISNUMBER(SEARCH('1Př1'!$A$34,N590)),MAX($M$2:M589)+1,0)</f>
        <v>588</v>
      </c>
      <c r="Y590" s="325" t="s">
        <v>2625</v>
      </c>
      <c r="Z590" t="str">
        <f>IFERROR(VLOOKUP(ROWS($Z$3:Z590),$X$3:$Y$992,2,0),"")</f>
        <v>Odstraňování odpadů, kromě nebezpečných</v>
      </c>
    </row>
    <row r="591" spans="13:26">
      <c r="M591" s="324">
        <f>IF(ISNUMBER(SEARCH(ZAKL_DATA!$B$29,N591)),MAX($M$2:M590)+1,0)</f>
        <v>589</v>
      </c>
      <c r="N591" s="325" t="s">
        <v>2627</v>
      </c>
      <c r="O591" s="340" t="s">
        <v>2628</v>
      </c>
      <c r="Q591" s="327" t="str">
        <f>IFERROR(VLOOKUP(ROWS($Q$3:Q591),$M$3:$N$992,2,0),"")</f>
        <v>Odstraňování nebezpečných odpadů</v>
      </c>
      <c r="R591">
        <f>IF(ISNUMBER(SEARCH('1Př1'!$A$32,N591)),MAX($M$2:M590)+1,0)</f>
        <v>589</v>
      </c>
      <c r="S591" s="325" t="s">
        <v>2627</v>
      </c>
      <c r="T591" t="str">
        <f>IFERROR(VLOOKUP(ROWS($T$3:T591),$R$3:$S$992,2,0),"")</f>
        <v>Odstraňování nebezpečných odpadů</v>
      </c>
      <c r="U591">
        <f>IF(ISNUMBER(SEARCH('1Př1'!$A$33,N591)),MAX($M$2:M590)+1,0)</f>
        <v>589</v>
      </c>
      <c r="V591" s="325" t="s">
        <v>2627</v>
      </c>
      <c r="W591" t="str">
        <f>IFERROR(VLOOKUP(ROWS($W$3:W591),$U$3:$V$992,2,0),"")</f>
        <v>Odstraňování nebezpečných odpadů</v>
      </c>
      <c r="X591">
        <f>IF(ISNUMBER(SEARCH('1Př1'!$A$34,N591)),MAX($M$2:M590)+1,0)</f>
        <v>589</v>
      </c>
      <c r="Y591" s="325" t="s">
        <v>2627</v>
      </c>
      <c r="Z591" t="str">
        <f>IFERROR(VLOOKUP(ROWS($Z$3:Z591),$X$3:$Y$992,2,0),"")</f>
        <v>Odstraňování nebezpečných odpadů</v>
      </c>
    </row>
    <row r="592" spans="13:26">
      <c r="M592" s="324">
        <f>IF(ISNUMBER(SEARCH(ZAKL_DATA!$B$29,N592)),MAX($M$2:M591)+1,0)</f>
        <v>590</v>
      </c>
      <c r="N592" s="325" t="s">
        <v>2629</v>
      </c>
      <c r="O592" s="340" t="s">
        <v>2630</v>
      </c>
      <c r="Q592" s="327" t="str">
        <f>IFERROR(VLOOKUP(ROWS($Q$3:Q592),$M$3:$N$992,2,0),"")</f>
        <v>Demontáž vraků a vyřazených strojů a zařízení pro účely recyklace</v>
      </c>
      <c r="R592">
        <f>IF(ISNUMBER(SEARCH('1Př1'!$A$32,N592)),MAX($M$2:M591)+1,0)</f>
        <v>590</v>
      </c>
      <c r="S592" s="325" t="s">
        <v>2629</v>
      </c>
      <c r="T592" t="str">
        <f>IFERROR(VLOOKUP(ROWS($T$3:T592),$R$3:$S$992,2,0),"")</f>
        <v>Demontáž vraků a vyřazených strojů a zařízení pro účely recyklace</v>
      </c>
      <c r="U592">
        <f>IF(ISNUMBER(SEARCH('1Př1'!$A$33,N592)),MAX($M$2:M591)+1,0)</f>
        <v>590</v>
      </c>
      <c r="V592" s="325" t="s">
        <v>2629</v>
      </c>
      <c r="W592" t="str">
        <f>IFERROR(VLOOKUP(ROWS($W$3:W592),$U$3:$V$992,2,0),"")</f>
        <v>Demontáž vraků a vyřazených strojů a zařízení pro účely recyklace</v>
      </c>
      <c r="X592">
        <f>IF(ISNUMBER(SEARCH('1Př1'!$A$34,N592)),MAX($M$2:M591)+1,0)</f>
        <v>590</v>
      </c>
      <c r="Y592" s="325" t="s">
        <v>2629</v>
      </c>
      <c r="Z592" t="str">
        <f>IFERROR(VLOOKUP(ROWS($Z$3:Z592),$X$3:$Y$992,2,0),"")</f>
        <v>Demontáž vraků a vyřazených strojů a zařízení pro účely recyklace</v>
      </c>
    </row>
    <row r="593" spans="13:26">
      <c r="M593" s="324">
        <f>IF(ISNUMBER(SEARCH(ZAKL_DATA!$B$29,N593)),MAX($M$2:M592)+1,0)</f>
        <v>591</v>
      </c>
      <c r="N593" s="325" t="s">
        <v>2631</v>
      </c>
      <c r="O593" s="340" t="s">
        <v>2632</v>
      </c>
      <c r="Q593" s="327" t="str">
        <f>IFERROR(VLOOKUP(ROWS($Q$3:Q593),$M$3:$N$992,2,0),"")</f>
        <v>Úprava odpadů k dalšímu využití,kromě demontáže vraků,strojů a zařízení</v>
      </c>
      <c r="R593">
        <f>IF(ISNUMBER(SEARCH('1Př1'!$A$32,N593)),MAX($M$2:M592)+1,0)</f>
        <v>591</v>
      </c>
      <c r="S593" s="325" t="s">
        <v>2631</v>
      </c>
      <c r="T593" t="str">
        <f>IFERROR(VLOOKUP(ROWS($T$3:T593),$R$3:$S$992,2,0),"")</f>
        <v>Úprava odpadů k dalšímu využití,kromě demontáže vraků,strojů a zařízení</v>
      </c>
      <c r="U593">
        <f>IF(ISNUMBER(SEARCH('1Př1'!$A$33,N593)),MAX($M$2:M592)+1,0)</f>
        <v>591</v>
      </c>
      <c r="V593" s="325" t="s">
        <v>2631</v>
      </c>
      <c r="W593" t="str">
        <f>IFERROR(VLOOKUP(ROWS($W$3:W593),$U$3:$V$992,2,0),"")</f>
        <v>Úprava odpadů k dalšímu využití,kromě demontáže vraků,strojů a zařízení</v>
      </c>
      <c r="X593">
        <f>IF(ISNUMBER(SEARCH('1Př1'!$A$34,N593)),MAX($M$2:M592)+1,0)</f>
        <v>591</v>
      </c>
      <c r="Y593" s="325" t="s">
        <v>2631</v>
      </c>
      <c r="Z593" t="str">
        <f>IFERROR(VLOOKUP(ROWS($Z$3:Z593),$X$3:$Y$992,2,0),"")</f>
        <v>Úprava odpadů k dalšímu využití,kromě demontáže vraků,strojů a zařízení</v>
      </c>
    </row>
    <row r="594" spans="13:26">
      <c r="M594" s="324">
        <f>IF(ISNUMBER(SEARCH(ZAKL_DATA!$B$29,N594)),MAX($M$2:M593)+1,0)</f>
        <v>592</v>
      </c>
      <c r="N594" s="325" t="s">
        <v>2633</v>
      </c>
      <c r="O594" s="340" t="s">
        <v>1922</v>
      </c>
      <c r="Q594" s="327" t="str">
        <f>IFERROR(VLOOKUP(ROWS($Q$3:Q594),$M$3:$N$992,2,0),"")</f>
        <v>Výstavba bytových budov</v>
      </c>
      <c r="R594">
        <f>IF(ISNUMBER(SEARCH('1Př1'!$A$32,N594)),MAX($M$2:M593)+1,0)</f>
        <v>592</v>
      </c>
      <c r="S594" s="325" t="s">
        <v>2633</v>
      </c>
      <c r="T594" t="str">
        <f>IFERROR(VLOOKUP(ROWS($T$3:T594),$R$3:$S$992,2,0),"")</f>
        <v>Výstavba bytových budov</v>
      </c>
      <c r="U594">
        <f>IF(ISNUMBER(SEARCH('1Př1'!$A$33,N594)),MAX($M$2:M593)+1,0)</f>
        <v>592</v>
      </c>
      <c r="V594" s="325" t="s">
        <v>2633</v>
      </c>
      <c r="W594" t="str">
        <f>IFERROR(VLOOKUP(ROWS($W$3:W594),$U$3:$V$992,2,0),"")</f>
        <v>Výstavba bytových budov</v>
      </c>
      <c r="X594">
        <f>IF(ISNUMBER(SEARCH('1Př1'!$A$34,N594)),MAX($M$2:M593)+1,0)</f>
        <v>592</v>
      </c>
      <c r="Y594" s="325" t="s">
        <v>2633</v>
      </c>
      <c r="Z594" t="str">
        <f>IFERROR(VLOOKUP(ROWS($Z$3:Z594),$X$3:$Y$992,2,0),"")</f>
        <v>Výstavba bytových budov</v>
      </c>
    </row>
    <row r="595" spans="13:26">
      <c r="M595" s="324">
        <f>IF(ISNUMBER(SEARCH(ZAKL_DATA!$B$29,N595)),MAX($M$2:M594)+1,0)</f>
        <v>593</v>
      </c>
      <c r="N595" s="325" t="s">
        <v>2634</v>
      </c>
      <c r="O595" s="340" t="s">
        <v>2635</v>
      </c>
      <c r="Q595" s="327" t="str">
        <f>IFERROR(VLOOKUP(ROWS($Q$3:Q595),$M$3:$N$992,2,0),"")</f>
        <v>Výstavba silnic a dálnic</v>
      </c>
      <c r="R595">
        <f>IF(ISNUMBER(SEARCH('1Př1'!$A$32,N595)),MAX($M$2:M594)+1,0)</f>
        <v>593</v>
      </c>
      <c r="S595" s="325" t="s">
        <v>2634</v>
      </c>
      <c r="T595" t="str">
        <f>IFERROR(VLOOKUP(ROWS($T$3:T595),$R$3:$S$992,2,0),"")</f>
        <v>Výstavba silnic a dálnic</v>
      </c>
      <c r="U595">
        <f>IF(ISNUMBER(SEARCH('1Př1'!$A$33,N595)),MAX($M$2:M594)+1,0)</f>
        <v>593</v>
      </c>
      <c r="V595" s="325" t="s">
        <v>2634</v>
      </c>
      <c r="W595" t="str">
        <f>IFERROR(VLOOKUP(ROWS($W$3:W595),$U$3:$V$992,2,0),"")</f>
        <v>Výstavba silnic a dálnic</v>
      </c>
      <c r="X595">
        <f>IF(ISNUMBER(SEARCH('1Př1'!$A$34,N595)),MAX($M$2:M594)+1,0)</f>
        <v>593</v>
      </c>
      <c r="Y595" s="325" t="s">
        <v>2634</v>
      </c>
      <c r="Z595" t="str">
        <f>IFERROR(VLOOKUP(ROWS($Z$3:Z595),$X$3:$Y$992,2,0),"")</f>
        <v>Výstavba silnic a dálnic</v>
      </c>
    </row>
    <row r="596" spans="13:26">
      <c r="M596" s="324">
        <f>IF(ISNUMBER(SEARCH(ZAKL_DATA!$B$29,N596)),MAX($M$2:M595)+1,0)</f>
        <v>594</v>
      </c>
      <c r="N596" s="325" t="s">
        <v>2636</v>
      </c>
      <c r="O596" s="340" t="s">
        <v>2637</v>
      </c>
      <c r="Q596" s="327" t="str">
        <f>IFERROR(VLOOKUP(ROWS($Q$3:Q596),$M$3:$N$992,2,0),"")</f>
        <v>Výstavba železnic a podzemních drah</v>
      </c>
      <c r="R596">
        <f>IF(ISNUMBER(SEARCH('1Př1'!$A$32,N596)),MAX($M$2:M595)+1,0)</f>
        <v>594</v>
      </c>
      <c r="S596" s="325" t="s">
        <v>2636</v>
      </c>
      <c r="T596" t="str">
        <f>IFERROR(VLOOKUP(ROWS($T$3:T596),$R$3:$S$992,2,0),"")</f>
        <v>Výstavba železnic a podzemních drah</v>
      </c>
      <c r="U596">
        <f>IF(ISNUMBER(SEARCH('1Př1'!$A$33,N596)),MAX($M$2:M595)+1,0)</f>
        <v>594</v>
      </c>
      <c r="V596" s="325" t="s">
        <v>2636</v>
      </c>
      <c r="W596" t="str">
        <f>IFERROR(VLOOKUP(ROWS($W$3:W596),$U$3:$V$992,2,0),"")</f>
        <v>Výstavba železnic a podzemních drah</v>
      </c>
      <c r="X596">
        <f>IF(ISNUMBER(SEARCH('1Př1'!$A$34,N596)),MAX($M$2:M595)+1,0)</f>
        <v>594</v>
      </c>
      <c r="Y596" s="325" t="s">
        <v>2636</v>
      </c>
      <c r="Z596" t="str">
        <f>IFERROR(VLOOKUP(ROWS($Z$3:Z596),$X$3:$Y$992,2,0),"")</f>
        <v>Výstavba železnic a podzemních drah</v>
      </c>
    </row>
    <row r="597" spans="13:26">
      <c r="M597" s="324">
        <f>IF(ISNUMBER(SEARCH(ZAKL_DATA!$B$29,N597)),MAX($M$2:M596)+1,0)</f>
        <v>595</v>
      </c>
      <c r="N597" s="325" t="s">
        <v>2638</v>
      </c>
      <c r="O597" s="340" t="s">
        <v>2639</v>
      </c>
      <c r="Q597" s="327" t="str">
        <f>IFERROR(VLOOKUP(ROWS($Q$3:Q597),$M$3:$N$992,2,0),"")</f>
        <v>Výstavba mostů a tunelů</v>
      </c>
      <c r="R597">
        <f>IF(ISNUMBER(SEARCH('1Př1'!$A$32,N597)),MAX($M$2:M596)+1,0)</f>
        <v>595</v>
      </c>
      <c r="S597" s="325" t="s">
        <v>2638</v>
      </c>
      <c r="T597" t="str">
        <f>IFERROR(VLOOKUP(ROWS($T$3:T597),$R$3:$S$992,2,0),"")</f>
        <v>Výstavba mostů a tunelů</v>
      </c>
      <c r="U597">
        <f>IF(ISNUMBER(SEARCH('1Př1'!$A$33,N597)),MAX($M$2:M596)+1,0)</f>
        <v>595</v>
      </c>
      <c r="V597" s="325" t="s">
        <v>2638</v>
      </c>
      <c r="W597" t="str">
        <f>IFERROR(VLOOKUP(ROWS($W$3:W597),$U$3:$V$992,2,0),"")</f>
        <v>Výstavba mostů a tunelů</v>
      </c>
      <c r="X597">
        <f>IF(ISNUMBER(SEARCH('1Př1'!$A$34,N597)),MAX($M$2:M596)+1,0)</f>
        <v>595</v>
      </c>
      <c r="Y597" s="325" t="s">
        <v>2638</v>
      </c>
      <c r="Z597" t="str">
        <f>IFERROR(VLOOKUP(ROWS($Z$3:Z597),$X$3:$Y$992,2,0),"")</f>
        <v>Výstavba mostů a tunelů</v>
      </c>
    </row>
    <row r="598" spans="13:26">
      <c r="M598" s="324">
        <f>IF(ISNUMBER(SEARCH(ZAKL_DATA!$B$29,N598)),MAX($M$2:M597)+1,0)</f>
        <v>596</v>
      </c>
      <c r="N598" s="325" t="s">
        <v>2640</v>
      </c>
      <c r="O598" s="340" t="s">
        <v>2641</v>
      </c>
      <c r="Q598" s="327" t="str">
        <f>IFERROR(VLOOKUP(ROWS($Q$3:Q598),$M$3:$N$992,2,0),"")</f>
        <v>Výstavba inženýrských sítí pro kapaliny a plyny</v>
      </c>
      <c r="R598">
        <f>IF(ISNUMBER(SEARCH('1Př1'!$A$32,N598)),MAX($M$2:M597)+1,0)</f>
        <v>596</v>
      </c>
      <c r="S598" s="325" t="s">
        <v>2640</v>
      </c>
      <c r="T598" t="str">
        <f>IFERROR(VLOOKUP(ROWS($T$3:T598),$R$3:$S$992,2,0),"")</f>
        <v>Výstavba inženýrských sítí pro kapaliny a plyny</v>
      </c>
      <c r="U598">
        <f>IF(ISNUMBER(SEARCH('1Př1'!$A$33,N598)),MAX($M$2:M597)+1,0)</f>
        <v>596</v>
      </c>
      <c r="V598" s="325" t="s">
        <v>2640</v>
      </c>
      <c r="W598" t="str">
        <f>IFERROR(VLOOKUP(ROWS($W$3:W598),$U$3:$V$992,2,0),"")</f>
        <v>Výstavba inženýrských sítí pro kapaliny a plyny</v>
      </c>
      <c r="X598">
        <f>IF(ISNUMBER(SEARCH('1Př1'!$A$34,N598)),MAX($M$2:M597)+1,0)</f>
        <v>596</v>
      </c>
      <c r="Y598" s="325" t="s">
        <v>2640</v>
      </c>
      <c r="Z598" t="str">
        <f>IFERROR(VLOOKUP(ROWS($Z$3:Z598),$X$3:$Y$992,2,0),"")</f>
        <v>Výstavba inženýrských sítí pro kapaliny a plyny</v>
      </c>
    </row>
    <row r="599" spans="13:26">
      <c r="M599" s="324">
        <f>IF(ISNUMBER(SEARCH(ZAKL_DATA!$B$29,N599)),MAX($M$2:M598)+1,0)</f>
        <v>597</v>
      </c>
      <c r="N599" s="325" t="s">
        <v>2642</v>
      </c>
      <c r="O599" s="340" t="s">
        <v>2643</v>
      </c>
      <c r="Q599" s="327" t="str">
        <f>IFERROR(VLOOKUP(ROWS($Q$3:Q599),$M$3:$N$992,2,0),"")</f>
        <v>Výstavba inženýrských sítí pro elektřinu a telekomunikace</v>
      </c>
      <c r="R599">
        <f>IF(ISNUMBER(SEARCH('1Př1'!$A$32,N599)),MAX($M$2:M598)+1,0)</f>
        <v>597</v>
      </c>
      <c r="S599" s="325" t="s">
        <v>2642</v>
      </c>
      <c r="T599" t="str">
        <f>IFERROR(VLOOKUP(ROWS($T$3:T599),$R$3:$S$992,2,0),"")</f>
        <v>Výstavba inženýrských sítí pro elektřinu a telekomunikace</v>
      </c>
      <c r="U599">
        <f>IF(ISNUMBER(SEARCH('1Př1'!$A$33,N599)),MAX($M$2:M598)+1,0)</f>
        <v>597</v>
      </c>
      <c r="V599" s="325" t="s">
        <v>2642</v>
      </c>
      <c r="W599" t="str">
        <f>IFERROR(VLOOKUP(ROWS($W$3:W599),$U$3:$V$992,2,0),"")</f>
        <v>Výstavba inženýrských sítí pro elektřinu a telekomunikace</v>
      </c>
      <c r="X599">
        <f>IF(ISNUMBER(SEARCH('1Př1'!$A$34,N599)),MAX($M$2:M598)+1,0)</f>
        <v>597</v>
      </c>
      <c r="Y599" s="325" t="s">
        <v>2642</v>
      </c>
      <c r="Z599" t="str">
        <f>IFERROR(VLOOKUP(ROWS($Z$3:Z599),$X$3:$Y$992,2,0),"")</f>
        <v>Výstavba inženýrských sítí pro elektřinu a telekomunikace</v>
      </c>
    </row>
    <row r="600" spans="13:26">
      <c r="M600" s="324">
        <f>IF(ISNUMBER(SEARCH(ZAKL_DATA!$B$29,N600)),MAX($M$2:M599)+1,0)</f>
        <v>598</v>
      </c>
      <c r="N600" s="325" t="s">
        <v>2644</v>
      </c>
      <c r="O600" s="340" t="s">
        <v>2645</v>
      </c>
      <c r="Q600" s="327" t="str">
        <f>IFERROR(VLOOKUP(ROWS($Q$3:Q600),$M$3:$N$992,2,0),"")</f>
        <v>Výstavba vodních děl</v>
      </c>
      <c r="R600">
        <f>IF(ISNUMBER(SEARCH('1Př1'!$A$32,N600)),MAX($M$2:M599)+1,0)</f>
        <v>598</v>
      </c>
      <c r="S600" s="325" t="s">
        <v>2644</v>
      </c>
      <c r="T600" t="str">
        <f>IFERROR(VLOOKUP(ROWS($T$3:T600),$R$3:$S$992,2,0),"")</f>
        <v>Výstavba vodních děl</v>
      </c>
      <c r="U600">
        <f>IF(ISNUMBER(SEARCH('1Př1'!$A$33,N600)),MAX($M$2:M599)+1,0)</f>
        <v>598</v>
      </c>
      <c r="V600" s="325" t="s">
        <v>2644</v>
      </c>
      <c r="W600" t="str">
        <f>IFERROR(VLOOKUP(ROWS($W$3:W600),$U$3:$V$992,2,0),"")</f>
        <v>Výstavba vodních děl</v>
      </c>
      <c r="X600">
        <f>IF(ISNUMBER(SEARCH('1Př1'!$A$34,N600)),MAX($M$2:M599)+1,0)</f>
        <v>598</v>
      </c>
      <c r="Y600" s="325" t="s">
        <v>2644</v>
      </c>
      <c r="Z600" t="str">
        <f>IFERROR(VLOOKUP(ROWS($Z$3:Z600),$X$3:$Y$992,2,0),"")</f>
        <v>Výstavba vodních děl</v>
      </c>
    </row>
    <row r="601" spans="13:26">
      <c r="M601" s="324">
        <f>IF(ISNUMBER(SEARCH(ZAKL_DATA!$B$29,N601)),MAX($M$2:M600)+1,0)</f>
        <v>599</v>
      </c>
      <c r="N601" s="325" t="s">
        <v>2646</v>
      </c>
      <c r="O601" s="340" t="s">
        <v>2647</v>
      </c>
      <c r="Q601" s="327" t="str">
        <f>IFERROR(VLOOKUP(ROWS($Q$3:Q601),$M$3:$N$992,2,0),"")</f>
        <v>Výstavba ostatních staveb j. n.</v>
      </c>
      <c r="R601">
        <f>IF(ISNUMBER(SEARCH('1Př1'!$A$32,N601)),MAX($M$2:M600)+1,0)</f>
        <v>599</v>
      </c>
      <c r="S601" s="325" t="s">
        <v>2646</v>
      </c>
      <c r="T601" t="str">
        <f>IFERROR(VLOOKUP(ROWS($T$3:T601),$R$3:$S$992,2,0),"")</f>
        <v>Výstavba ostatních staveb j. n.</v>
      </c>
      <c r="U601">
        <f>IF(ISNUMBER(SEARCH('1Př1'!$A$33,N601)),MAX($M$2:M600)+1,0)</f>
        <v>599</v>
      </c>
      <c r="V601" s="325" t="s">
        <v>2646</v>
      </c>
      <c r="W601" t="str">
        <f>IFERROR(VLOOKUP(ROWS($W$3:W601),$U$3:$V$992,2,0),"")</f>
        <v>Výstavba ostatních staveb j. n.</v>
      </c>
      <c r="X601">
        <f>IF(ISNUMBER(SEARCH('1Př1'!$A$34,N601)),MAX($M$2:M600)+1,0)</f>
        <v>599</v>
      </c>
      <c r="Y601" s="325" t="s">
        <v>2646</v>
      </c>
      <c r="Z601" t="str">
        <f>IFERROR(VLOOKUP(ROWS($Z$3:Z601),$X$3:$Y$992,2,0),"")</f>
        <v>Výstavba ostatních staveb j. n.</v>
      </c>
    </row>
    <row r="602" spans="13:26">
      <c r="M602" s="324">
        <f>IF(ISNUMBER(SEARCH(ZAKL_DATA!$B$29,N602)),MAX($M$2:M601)+1,0)</f>
        <v>600</v>
      </c>
      <c r="N602" s="325" t="s">
        <v>2648</v>
      </c>
      <c r="O602" s="340" t="s">
        <v>2649</v>
      </c>
      <c r="Q602" s="327" t="str">
        <f>IFERROR(VLOOKUP(ROWS($Q$3:Q602),$M$3:$N$992,2,0),"")</f>
        <v>Demolice</v>
      </c>
      <c r="R602">
        <f>IF(ISNUMBER(SEARCH('1Př1'!$A$32,N602)),MAX($M$2:M601)+1,0)</f>
        <v>600</v>
      </c>
      <c r="S602" s="325" t="s">
        <v>2648</v>
      </c>
      <c r="T602" t="str">
        <f>IFERROR(VLOOKUP(ROWS($T$3:T602),$R$3:$S$992,2,0),"")</f>
        <v>Demolice</v>
      </c>
      <c r="U602">
        <f>IF(ISNUMBER(SEARCH('1Př1'!$A$33,N602)),MAX($M$2:M601)+1,0)</f>
        <v>600</v>
      </c>
      <c r="V602" s="325" t="s">
        <v>2648</v>
      </c>
      <c r="W602" t="str">
        <f>IFERROR(VLOOKUP(ROWS($W$3:W602),$U$3:$V$992,2,0),"")</f>
        <v>Demolice</v>
      </c>
      <c r="X602">
        <f>IF(ISNUMBER(SEARCH('1Př1'!$A$34,N602)),MAX($M$2:M601)+1,0)</f>
        <v>600</v>
      </c>
      <c r="Y602" s="325" t="s">
        <v>2648</v>
      </c>
      <c r="Z602" t="str">
        <f>IFERROR(VLOOKUP(ROWS($Z$3:Z602),$X$3:$Y$992,2,0),"")</f>
        <v>Demolice</v>
      </c>
    </row>
    <row r="603" spans="13:26">
      <c r="M603" s="324">
        <f>IF(ISNUMBER(SEARCH(ZAKL_DATA!$B$29,N603)),MAX($M$2:M602)+1,0)</f>
        <v>601</v>
      </c>
      <c r="N603" s="325" t="s">
        <v>2650</v>
      </c>
      <c r="O603" s="340" t="s">
        <v>2651</v>
      </c>
      <c r="Q603" s="327" t="str">
        <f>IFERROR(VLOOKUP(ROWS($Q$3:Q603),$M$3:$N$992,2,0),"")</f>
        <v>Příprava staveniště</v>
      </c>
      <c r="R603">
        <f>IF(ISNUMBER(SEARCH('1Př1'!$A$32,N603)),MAX($M$2:M602)+1,0)</f>
        <v>601</v>
      </c>
      <c r="S603" s="325" t="s">
        <v>2650</v>
      </c>
      <c r="T603" t="str">
        <f>IFERROR(VLOOKUP(ROWS($T$3:T603),$R$3:$S$992,2,0),"")</f>
        <v>Příprava staveniště</v>
      </c>
      <c r="U603">
        <f>IF(ISNUMBER(SEARCH('1Př1'!$A$33,N603)),MAX($M$2:M602)+1,0)</f>
        <v>601</v>
      </c>
      <c r="V603" s="325" t="s">
        <v>2650</v>
      </c>
      <c r="W603" t="str">
        <f>IFERROR(VLOOKUP(ROWS($W$3:W603),$U$3:$V$992,2,0),"")</f>
        <v>Příprava staveniště</v>
      </c>
      <c r="X603">
        <f>IF(ISNUMBER(SEARCH('1Př1'!$A$34,N603)),MAX($M$2:M602)+1,0)</f>
        <v>601</v>
      </c>
      <c r="Y603" s="325" t="s">
        <v>2650</v>
      </c>
      <c r="Z603" t="str">
        <f>IFERROR(VLOOKUP(ROWS($Z$3:Z603),$X$3:$Y$992,2,0),"")</f>
        <v>Příprava staveniště</v>
      </c>
    </row>
    <row r="604" spans="13:26">
      <c r="M604" s="324">
        <f>IF(ISNUMBER(SEARCH(ZAKL_DATA!$B$29,N604)),MAX($M$2:M603)+1,0)</f>
        <v>602</v>
      </c>
      <c r="N604" s="325" t="s">
        <v>2652</v>
      </c>
      <c r="O604" s="340" t="s">
        <v>2653</v>
      </c>
      <c r="Q604" s="327" t="str">
        <f>IFERROR(VLOOKUP(ROWS($Q$3:Q604),$M$3:$N$992,2,0),"")</f>
        <v>Průzkumné vrtné práce</v>
      </c>
      <c r="R604">
        <f>IF(ISNUMBER(SEARCH('1Př1'!$A$32,N604)),MAX($M$2:M603)+1,0)</f>
        <v>602</v>
      </c>
      <c r="S604" s="325" t="s">
        <v>2652</v>
      </c>
      <c r="T604" t="str">
        <f>IFERROR(VLOOKUP(ROWS($T$3:T604),$R$3:$S$992,2,0),"")</f>
        <v>Průzkumné vrtné práce</v>
      </c>
      <c r="U604">
        <f>IF(ISNUMBER(SEARCH('1Př1'!$A$33,N604)),MAX($M$2:M603)+1,0)</f>
        <v>602</v>
      </c>
      <c r="V604" s="325" t="s">
        <v>2652</v>
      </c>
      <c r="W604" t="str">
        <f>IFERROR(VLOOKUP(ROWS($W$3:W604),$U$3:$V$992,2,0),"")</f>
        <v>Průzkumné vrtné práce</v>
      </c>
      <c r="X604">
        <f>IF(ISNUMBER(SEARCH('1Př1'!$A$34,N604)),MAX($M$2:M603)+1,0)</f>
        <v>602</v>
      </c>
      <c r="Y604" s="325" t="s">
        <v>2652</v>
      </c>
      <c r="Z604" t="str">
        <f>IFERROR(VLOOKUP(ROWS($Z$3:Z604),$X$3:$Y$992,2,0),"")</f>
        <v>Průzkumné vrtné práce</v>
      </c>
    </row>
    <row r="605" spans="13:26">
      <c r="M605" s="324">
        <f>IF(ISNUMBER(SEARCH(ZAKL_DATA!$B$29,N605)),MAX($M$2:M604)+1,0)</f>
        <v>603</v>
      </c>
      <c r="N605" s="325" t="s">
        <v>2654</v>
      </c>
      <c r="O605" s="340" t="s">
        <v>2655</v>
      </c>
      <c r="Q605" s="327" t="str">
        <f>IFERROR(VLOOKUP(ROWS($Q$3:Q605),$M$3:$N$992,2,0),"")</f>
        <v>Elektrické instalace</v>
      </c>
      <c r="R605">
        <f>IF(ISNUMBER(SEARCH('1Př1'!$A$32,N605)),MAX($M$2:M604)+1,0)</f>
        <v>603</v>
      </c>
      <c r="S605" s="325" t="s">
        <v>2654</v>
      </c>
      <c r="T605" t="str">
        <f>IFERROR(VLOOKUP(ROWS($T$3:T605),$R$3:$S$992,2,0),"")</f>
        <v>Elektrické instalace</v>
      </c>
      <c r="U605">
        <f>IF(ISNUMBER(SEARCH('1Př1'!$A$33,N605)),MAX($M$2:M604)+1,0)</f>
        <v>603</v>
      </c>
      <c r="V605" s="325" t="s">
        <v>2654</v>
      </c>
      <c r="W605" t="str">
        <f>IFERROR(VLOOKUP(ROWS($W$3:W605),$U$3:$V$992,2,0),"")</f>
        <v>Elektrické instalace</v>
      </c>
      <c r="X605">
        <f>IF(ISNUMBER(SEARCH('1Př1'!$A$34,N605)),MAX($M$2:M604)+1,0)</f>
        <v>603</v>
      </c>
      <c r="Y605" s="325" t="s">
        <v>2654</v>
      </c>
      <c r="Z605" t="str">
        <f>IFERROR(VLOOKUP(ROWS($Z$3:Z605),$X$3:$Y$992,2,0),"")</f>
        <v>Elektrické instalace</v>
      </c>
    </row>
    <row r="606" spans="13:26">
      <c r="M606" s="324">
        <f>IF(ISNUMBER(SEARCH(ZAKL_DATA!$B$29,N606)),MAX($M$2:M605)+1,0)</f>
        <v>604</v>
      </c>
      <c r="N606" s="325" t="s">
        <v>2656</v>
      </c>
      <c r="O606" s="340" t="s">
        <v>2657</v>
      </c>
      <c r="Q606" s="327" t="str">
        <f>IFERROR(VLOOKUP(ROWS($Q$3:Q606),$M$3:$N$992,2,0),"")</f>
        <v>Instalace vody, odpadu, plynu, topení a klimatizace</v>
      </c>
      <c r="R606">
        <f>IF(ISNUMBER(SEARCH('1Př1'!$A$32,N606)),MAX($M$2:M605)+1,0)</f>
        <v>604</v>
      </c>
      <c r="S606" s="325" t="s">
        <v>2656</v>
      </c>
      <c r="T606" t="str">
        <f>IFERROR(VLOOKUP(ROWS($T$3:T606),$R$3:$S$992,2,0),"")</f>
        <v>Instalace vody, odpadu, plynu, topení a klimatizace</v>
      </c>
      <c r="U606">
        <f>IF(ISNUMBER(SEARCH('1Př1'!$A$33,N606)),MAX($M$2:M605)+1,0)</f>
        <v>604</v>
      </c>
      <c r="V606" s="325" t="s">
        <v>2656</v>
      </c>
      <c r="W606" t="str">
        <f>IFERROR(VLOOKUP(ROWS($W$3:W606),$U$3:$V$992,2,0),"")</f>
        <v>Instalace vody, odpadu, plynu, topení a klimatizace</v>
      </c>
      <c r="X606">
        <f>IF(ISNUMBER(SEARCH('1Př1'!$A$34,N606)),MAX($M$2:M605)+1,0)</f>
        <v>604</v>
      </c>
      <c r="Y606" s="325" t="s">
        <v>2656</v>
      </c>
      <c r="Z606" t="str">
        <f>IFERROR(VLOOKUP(ROWS($Z$3:Z606),$X$3:$Y$992,2,0),"")</f>
        <v>Instalace vody, odpadu, plynu, topení a klimatizace</v>
      </c>
    </row>
    <row r="607" spans="13:26">
      <c r="M607" s="324">
        <f>IF(ISNUMBER(SEARCH(ZAKL_DATA!$B$29,N607)),MAX($M$2:M606)+1,0)</f>
        <v>605</v>
      </c>
      <c r="N607" s="325" t="s">
        <v>2658</v>
      </c>
      <c r="O607" s="340" t="s">
        <v>2659</v>
      </c>
      <c r="Q607" s="327" t="str">
        <f>IFERROR(VLOOKUP(ROWS($Q$3:Q607),$M$3:$N$992,2,0),"")</f>
        <v>Ostatní stavební instalace</v>
      </c>
      <c r="R607">
        <f>IF(ISNUMBER(SEARCH('1Př1'!$A$32,N607)),MAX($M$2:M606)+1,0)</f>
        <v>605</v>
      </c>
      <c r="S607" s="325" t="s">
        <v>2658</v>
      </c>
      <c r="T607" t="str">
        <f>IFERROR(VLOOKUP(ROWS($T$3:T607),$R$3:$S$992,2,0),"")</f>
        <v>Ostatní stavební instalace</v>
      </c>
      <c r="U607">
        <f>IF(ISNUMBER(SEARCH('1Př1'!$A$33,N607)),MAX($M$2:M606)+1,0)</f>
        <v>605</v>
      </c>
      <c r="V607" s="325" t="s">
        <v>2658</v>
      </c>
      <c r="W607" t="str">
        <f>IFERROR(VLOOKUP(ROWS($W$3:W607),$U$3:$V$992,2,0),"")</f>
        <v>Ostatní stavební instalace</v>
      </c>
      <c r="X607">
        <f>IF(ISNUMBER(SEARCH('1Př1'!$A$34,N607)),MAX($M$2:M606)+1,0)</f>
        <v>605</v>
      </c>
      <c r="Y607" s="325" t="s">
        <v>2658</v>
      </c>
      <c r="Z607" t="str">
        <f>IFERROR(VLOOKUP(ROWS($Z$3:Z607),$X$3:$Y$992,2,0),"")</f>
        <v>Ostatní stavební instalace</v>
      </c>
    </row>
    <row r="608" spans="13:26">
      <c r="M608" s="324">
        <f>IF(ISNUMBER(SEARCH(ZAKL_DATA!$B$29,N608)),MAX($M$2:M607)+1,0)</f>
        <v>606</v>
      </c>
      <c r="N608" s="325" t="s">
        <v>2660</v>
      </c>
      <c r="O608" s="340" t="s">
        <v>2661</v>
      </c>
      <c r="Q608" s="327" t="str">
        <f>IFERROR(VLOOKUP(ROWS($Q$3:Q608),$M$3:$N$992,2,0),"")</f>
        <v>Omítkářské práce</v>
      </c>
      <c r="R608">
        <f>IF(ISNUMBER(SEARCH('1Př1'!$A$32,N608)),MAX($M$2:M607)+1,0)</f>
        <v>606</v>
      </c>
      <c r="S608" s="325" t="s">
        <v>2660</v>
      </c>
      <c r="T608" t="str">
        <f>IFERROR(VLOOKUP(ROWS($T$3:T608),$R$3:$S$992,2,0),"")</f>
        <v>Omítkářské práce</v>
      </c>
      <c r="U608">
        <f>IF(ISNUMBER(SEARCH('1Př1'!$A$33,N608)),MAX($M$2:M607)+1,0)</f>
        <v>606</v>
      </c>
      <c r="V608" s="325" t="s">
        <v>2660</v>
      </c>
      <c r="W608" t="str">
        <f>IFERROR(VLOOKUP(ROWS($W$3:W608),$U$3:$V$992,2,0),"")</f>
        <v>Omítkářské práce</v>
      </c>
      <c r="X608">
        <f>IF(ISNUMBER(SEARCH('1Př1'!$A$34,N608)),MAX($M$2:M607)+1,0)</f>
        <v>606</v>
      </c>
      <c r="Y608" s="325" t="s">
        <v>2660</v>
      </c>
      <c r="Z608" t="str">
        <f>IFERROR(VLOOKUP(ROWS($Z$3:Z608),$X$3:$Y$992,2,0),"")</f>
        <v>Omítkářské práce</v>
      </c>
    </row>
    <row r="609" spans="13:26">
      <c r="M609" s="324">
        <f>IF(ISNUMBER(SEARCH(ZAKL_DATA!$B$29,N609)),MAX($M$2:M608)+1,0)</f>
        <v>607</v>
      </c>
      <c r="N609" s="325" t="s">
        <v>2662</v>
      </c>
      <c r="O609" s="340" t="s">
        <v>2663</v>
      </c>
      <c r="Q609" s="327" t="str">
        <f>IFERROR(VLOOKUP(ROWS($Q$3:Q609),$M$3:$N$992,2,0),"")</f>
        <v>Truhlářské práce</v>
      </c>
      <c r="R609">
        <f>IF(ISNUMBER(SEARCH('1Př1'!$A$32,N609)),MAX($M$2:M608)+1,0)</f>
        <v>607</v>
      </c>
      <c r="S609" s="325" t="s">
        <v>2662</v>
      </c>
      <c r="T609" t="str">
        <f>IFERROR(VLOOKUP(ROWS($T$3:T609),$R$3:$S$992,2,0),"")</f>
        <v>Truhlářské práce</v>
      </c>
      <c r="U609">
        <f>IF(ISNUMBER(SEARCH('1Př1'!$A$33,N609)),MAX($M$2:M608)+1,0)</f>
        <v>607</v>
      </c>
      <c r="V609" s="325" t="s">
        <v>2662</v>
      </c>
      <c r="W609" t="str">
        <f>IFERROR(VLOOKUP(ROWS($W$3:W609),$U$3:$V$992,2,0),"")</f>
        <v>Truhlářské práce</v>
      </c>
      <c r="X609">
        <f>IF(ISNUMBER(SEARCH('1Př1'!$A$34,N609)),MAX($M$2:M608)+1,0)</f>
        <v>607</v>
      </c>
      <c r="Y609" s="325" t="s">
        <v>2662</v>
      </c>
      <c r="Z609" t="str">
        <f>IFERROR(VLOOKUP(ROWS($Z$3:Z609),$X$3:$Y$992,2,0),"")</f>
        <v>Truhlářské práce</v>
      </c>
    </row>
    <row r="610" spans="13:26">
      <c r="M610" s="324">
        <f>IF(ISNUMBER(SEARCH(ZAKL_DATA!$B$29,N610)),MAX($M$2:M609)+1,0)</f>
        <v>608</v>
      </c>
      <c r="N610" s="325" t="s">
        <v>2664</v>
      </c>
      <c r="O610" s="340" t="s">
        <v>2665</v>
      </c>
      <c r="Q610" s="327" t="str">
        <f>IFERROR(VLOOKUP(ROWS($Q$3:Q610),$M$3:$N$992,2,0),"")</f>
        <v>Obkládání stěn a pokládání podlahových krytin</v>
      </c>
      <c r="R610">
        <f>IF(ISNUMBER(SEARCH('1Př1'!$A$32,N610)),MAX($M$2:M609)+1,0)</f>
        <v>608</v>
      </c>
      <c r="S610" s="325" t="s">
        <v>2664</v>
      </c>
      <c r="T610" t="str">
        <f>IFERROR(VLOOKUP(ROWS($T$3:T610),$R$3:$S$992,2,0),"")</f>
        <v>Obkládání stěn a pokládání podlahových krytin</v>
      </c>
      <c r="U610">
        <f>IF(ISNUMBER(SEARCH('1Př1'!$A$33,N610)),MAX($M$2:M609)+1,0)</f>
        <v>608</v>
      </c>
      <c r="V610" s="325" t="s">
        <v>2664</v>
      </c>
      <c r="W610" t="str">
        <f>IFERROR(VLOOKUP(ROWS($W$3:W610),$U$3:$V$992,2,0),"")</f>
        <v>Obkládání stěn a pokládání podlahových krytin</v>
      </c>
      <c r="X610">
        <f>IF(ISNUMBER(SEARCH('1Př1'!$A$34,N610)),MAX($M$2:M609)+1,0)</f>
        <v>608</v>
      </c>
      <c r="Y610" s="325" t="s">
        <v>2664</v>
      </c>
      <c r="Z610" t="str">
        <f>IFERROR(VLOOKUP(ROWS($Z$3:Z610),$X$3:$Y$992,2,0),"")</f>
        <v>Obkládání stěn a pokládání podlahových krytin</v>
      </c>
    </row>
    <row r="611" spans="13:26">
      <c r="M611" s="324">
        <f>IF(ISNUMBER(SEARCH(ZAKL_DATA!$B$29,N611)),MAX($M$2:M610)+1,0)</f>
        <v>609</v>
      </c>
      <c r="N611" s="325" t="s">
        <v>2666</v>
      </c>
      <c r="O611" s="340" t="s">
        <v>2667</v>
      </c>
      <c r="Q611" s="327" t="str">
        <f>IFERROR(VLOOKUP(ROWS($Q$3:Q611),$M$3:$N$992,2,0),"")</f>
        <v>Sklenářské, malířské a natěračské práce</v>
      </c>
      <c r="R611">
        <f>IF(ISNUMBER(SEARCH('1Př1'!$A$32,N611)),MAX($M$2:M610)+1,0)</f>
        <v>609</v>
      </c>
      <c r="S611" s="325" t="s">
        <v>2666</v>
      </c>
      <c r="T611" t="str">
        <f>IFERROR(VLOOKUP(ROWS($T$3:T611),$R$3:$S$992,2,0),"")</f>
        <v>Sklenářské, malířské a natěračské práce</v>
      </c>
      <c r="U611">
        <f>IF(ISNUMBER(SEARCH('1Př1'!$A$33,N611)),MAX($M$2:M610)+1,0)</f>
        <v>609</v>
      </c>
      <c r="V611" s="325" t="s">
        <v>2666</v>
      </c>
      <c r="W611" t="str">
        <f>IFERROR(VLOOKUP(ROWS($W$3:W611),$U$3:$V$992,2,0),"")</f>
        <v>Sklenářské, malířské a natěračské práce</v>
      </c>
      <c r="X611">
        <f>IF(ISNUMBER(SEARCH('1Př1'!$A$34,N611)),MAX($M$2:M610)+1,0)</f>
        <v>609</v>
      </c>
      <c r="Y611" s="325" t="s">
        <v>2666</v>
      </c>
      <c r="Z611" t="str">
        <f>IFERROR(VLOOKUP(ROWS($Z$3:Z611),$X$3:$Y$992,2,0),"")</f>
        <v>Sklenářské, malířské a natěračské práce</v>
      </c>
    </row>
    <row r="612" spans="13:26">
      <c r="M612" s="324">
        <f>IF(ISNUMBER(SEARCH(ZAKL_DATA!$B$29,N612)),MAX($M$2:M611)+1,0)</f>
        <v>610</v>
      </c>
      <c r="N612" s="325" t="s">
        <v>2668</v>
      </c>
      <c r="O612" s="340" t="s">
        <v>2669</v>
      </c>
      <c r="Q612" s="327" t="str">
        <f>IFERROR(VLOOKUP(ROWS($Q$3:Q612),$M$3:$N$992,2,0),"")</f>
        <v>Ostatní kompletační a dokončovací práce</v>
      </c>
      <c r="R612">
        <f>IF(ISNUMBER(SEARCH('1Př1'!$A$32,N612)),MAX($M$2:M611)+1,0)</f>
        <v>610</v>
      </c>
      <c r="S612" s="325" t="s">
        <v>2668</v>
      </c>
      <c r="T612" t="str">
        <f>IFERROR(VLOOKUP(ROWS($T$3:T612),$R$3:$S$992,2,0),"")</f>
        <v>Ostatní kompletační a dokončovací práce</v>
      </c>
      <c r="U612">
        <f>IF(ISNUMBER(SEARCH('1Př1'!$A$33,N612)),MAX($M$2:M611)+1,0)</f>
        <v>610</v>
      </c>
      <c r="V612" s="325" t="s">
        <v>2668</v>
      </c>
      <c r="W612" t="str">
        <f>IFERROR(VLOOKUP(ROWS($W$3:W612),$U$3:$V$992,2,0),"")</f>
        <v>Ostatní kompletační a dokončovací práce</v>
      </c>
      <c r="X612">
        <f>IF(ISNUMBER(SEARCH('1Př1'!$A$34,N612)),MAX($M$2:M611)+1,0)</f>
        <v>610</v>
      </c>
      <c r="Y612" s="325" t="s">
        <v>2668</v>
      </c>
      <c r="Z612" t="str">
        <f>IFERROR(VLOOKUP(ROWS($Z$3:Z612),$X$3:$Y$992,2,0),"")</f>
        <v>Ostatní kompletační a dokončovací práce</v>
      </c>
    </row>
    <row r="613" spans="13:26">
      <c r="M613" s="324">
        <f>IF(ISNUMBER(SEARCH(ZAKL_DATA!$B$29,N613)),MAX($M$2:M612)+1,0)</f>
        <v>611</v>
      </c>
      <c r="N613" s="325" t="s">
        <v>2670</v>
      </c>
      <c r="O613" s="340" t="s">
        <v>2671</v>
      </c>
      <c r="Q613" s="327" t="str">
        <f>IFERROR(VLOOKUP(ROWS($Q$3:Q613),$M$3:$N$992,2,0),"")</f>
        <v>Pokrývačské práce</v>
      </c>
      <c r="R613">
        <f>IF(ISNUMBER(SEARCH('1Př1'!$A$32,N613)),MAX($M$2:M612)+1,0)</f>
        <v>611</v>
      </c>
      <c r="S613" s="325" t="s">
        <v>2670</v>
      </c>
      <c r="T613" t="str">
        <f>IFERROR(VLOOKUP(ROWS($T$3:T613),$R$3:$S$992,2,0),"")</f>
        <v>Pokrývačské práce</v>
      </c>
      <c r="U613">
        <f>IF(ISNUMBER(SEARCH('1Př1'!$A$33,N613)),MAX($M$2:M612)+1,0)</f>
        <v>611</v>
      </c>
      <c r="V613" s="325" t="s">
        <v>2670</v>
      </c>
      <c r="W613" t="str">
        <f>IFERROR(VLOOKUP(ROWS($W$3:W613),$U$3:$V$992,2,0),"")</f>
        <v>Pokrývačské práce</v>
      </c>
      <c r="X613">
        <f>IF(ISNUMBER(SEARCH('1Př1'!$A$34,N613)),MAX($M$2:M612)+1,0)</f>
        <v>611</v>
      </c>
      <c r="Y613" s="325" t="s">
        <v>2670</v>
      </c>
      <c r="Z613" t="str">
        <f>IFERROR(VLOOKUP(ROWS($Z$3:Z613),$X$3:$Y$992,2,0),"")</f>
        <v>Pokrývačské práce</v>
      </c>
    </row>
    <row r="614" spans="13:26">
      <c r="M614" s="324">
        <f>IF(ISNUMBER(SEARCH(ZAKL_DATA!$B$29,N614)),MAX($M$2:M613)+1,0)</f>
        <v>612</v>
      </c>
      <c r="N614" s="325" t="s">
        <v>2672</v>
      </c>
      <c r="O614" s="340" t="s">
        <v>2673</v>
      </c>
      <c r="Q614" s="327" t="str">
        <f>IFERROR(VLOOKUP(ROWS($Q$3:Q614),$M$3:$N$992,2,0),"")</f>
        <v>Ostatní specializované stavební činnosti j. n.</v>
      </c>
      <c r="R614">
        <f>IF(ISNUMBER(SEARCH('1Př1'!$A$32,N614)),MAX($M$2:M613)+1,0)</f>
        <v>612</v>
      </c>
      <c r="S614" s="325" t="s">
        <v>2672</v>
      </c>
      <c r="T614" t="str">
        <f>IFERROR(VLOOKUP(ROWS($T$3:T614),$R$3:$S$992,2,0),"")</f>
        <v>Ostatní specializované stavební činnosti j. n.</v>
      </c>
      <c r="U614">
        <f>IF(ISNUMBER(SEARCH('1Př1'!$A$33,N614)),MAX($M$2:M613)+1,0)</f>
        <v>612</v>
      </c>
      <c r="V614" s="325" t="s">
        <v>2672</v>
      </c>
      <c r="W614" t="str">
        <f>IFERROR(VLOOKUP(ROWS($W$3:W614),$U$3:$V$992,2,0),"")</f>
        <v>Ostatní specializované stavební činnosti j. n.</v>
      </c>
      <c r="X614">
        <f>IF(ISNUMBER(SEARCH('1Př1'!$A$34,N614)),MAX($M$2:M613)+1,0)</f>
        <v>612</v>
      </c>
      <c r="Y614" s="325" t="s">
        <v>2672</v>
      </c>
      <c r="Z614" t="str">
        <f>IFERROR(VLOOKUP(ROWS($Z$3:Z614),$X$3:$Y$992,2,0),"")</f>
        <v>Ostatní specializované stavební činnosti j. n.</v>
      </c>
    </row>
    <row r="615" spans="13:26">
      <c r="M615" s="324">
        <f>IF(ISNUMBER(SEARCH(ZAKL_DATA!$B$29,N615)),MAX($M$2:M614)+1,0)</f>
        <v>613</v>
      </c>
      <c r="N615" s="325" t="s">
        <v>2674</v>
      </c>
      <c r="O615" s="340" t="s">
        <v>2675</v>
      </c>
      <c r="Q615" s="327" t="str">
        <f>IFERROR(VLOOKUP(ROWS($Q$3:Q615),$M$3:$N$992,2,0),"")</f>
        <v>Obchod s automobily a jinými lehkými motorovými vozidly</v>
      </c>
      <c r="R615">
        <f>IF(ISNUMBER(SEARCH('1Př1'!$A$32,N615)),MAX($M$2:M614)+1,0)</f>
        <v>613</v>
      </c>
      <c r="S615" s="325" t="s">
        <v>2674</v>
      </c>
      <c r="T615" t="str">
        <f>IFERROR(VLOOKUP(ROWS($T$3:T615),$R$3:$S$992,2,0),"")</f>
        <v>Obchod s automobily a jinými lehkými motorovými vozidly</v>
      </c>
      <c r="U615">
        <f>IF(ISNUMBER(SEARCH('1Př1'!$A$33,N615)),MAX($M$2:M614)+1,0)</f>
        <v>613</v>
      </c>
      <c r="V615" s="325" t="s">
        <v>2674</v>
      </c>
      <c r="W615" t="str">
        <f>IFERROR(VLOOKUP(ROWS($W$3:W615),$U$3:$V$992,2,0),"")</f>
        <v>Obchod s automobily a jinými lehkými motorovými vozidly</v>
      </c>
      <c r="X615">
        <f>IF(ISNUMBER(SEARCH('1Př1'!$A$34,N615)),MAX($M$2:M614)+1,0)</f>
        <v>613</v>
      </c>
      <c r="Y615" s="325" t="s">
        <v>2674</v>
      </c>
      <c r="Z615" t="str">
        <f>IFERROR(VLOOKUP(ROWS($Z$3:Z615),$X$3:$Y$992,2,0),"")</f>
        <v>Obchod s automobily a jinými lehkými motorovými vozidly</v>
      </c>
    </row>
    <row r="616" spans="13:26">
      <c r="M616" s="324">
        <f>IF(ISNUMBER(SEARCH(ZAKL_DATA!$B$29,N616)),MAX($M$2:M615)+1,0)</f>
        <v>614</v>
      </c>
      <c r="N616" s="325" t="s">
        <v>2676</v>
      </c>
      <c r="O616" s="340" t="s">
        <v>2677</v>
      </c>
      <c r="Q616" s="327" t="str">
        <f>IFERROR(VLOOKUP(ROWS($Q$3:Q616),$M$3:$N$992,2,0),"")</f>
        <v>Obchod s ostatními motorovými vozidly, kromě motocyklů</v>
      </c>
      <c r="R616">
        <f>IF(ISNUMBER(SEARCH('1Př1'!$A$32,N616)),MAX($M$2:M615)+1,0)</f>
        <v>614</v>
      </c>
      <c r="S616" s="325" t="s">
        <v>2676</v>
      </c>
      <c r="T616" t="str">
        <f>IFERROR(VLOOKUP(ROWS($T$3:T616),$R$3:$S$992,2,0),"")</f>
        <v>Obchod s ostatními motorovými vozidly, kromě motocyklů</v>
      </c>
      <c r="U616">
        <f>IF(ISNUMBER(SEARCH('1Př1'!$A$33,N616)),MAX($M$2:M615)+1,0)</f>
        <v>614</v>
      </c>
      <c r="V616" s="325" t="s">
        <v>2676</v>
      </c>
      <c r="W616" t="str">
        <f>IFERROR(VLOOKUP(ROWS($W$3:W616),$U$3:$V$992,2,0),"")</f>
        <v>Obchod s ostatními motorovými vozidly, kromě motocyklů</v>
      </c>
      <c r="X616">
        <f>IF(ISNUMBER(SEARCH('1Př1'!$A$34,N616)),MAX($M$2:M615)+1,0)</f>
        <v>614</v>
      </c>
      <c r="Y616" s="325" t="s">
        <v>2676</v>
      </c>
      <c r="Z616" t="str">
        <f>IFERROR(VLOOKUP(ROWS($Z$3:Z616),$X$3:$Y$992,2,0),"")</f>
        <v>Obchod s ostatními motorovými vozidly, kromě motocyklů</v>
      </c>
    </row>
    <row r="617" spans="13:26">
      <c r="M617" s="324">
        <f>IF(ISNUMBER(SEARCH(ZAKL_DATA!$B$29,N617)),MAX($M$2:M616)+1,0)</f>
        <v>615</v>
      </c>
      <c r="N617" s="325" t="s">
        <v>2678</v>
      </c>
      <c r="O617" s="340" t="s">
        <v>2679</v>
      </c>
      <c r="Q617" s="327" t="str">
        <f>IFERROR(VLOOKUP(ROWS($Q$3:Q617),$M$3:$N$992,2,0),"")</f>
        <v>Velkoobchod s díly a příslušenstvím pro motorová vozidla,kromě motocyklů</v>
      </c>
      <c r="R617">
        <f>IF(ISNUMBER(SEARCH('1Př1'!$A$32,N617)),MAX($M$2:M616)+1,0)</f>
        <v>615</v>
      </c>
      <c r="S617" s="325" t="s">
        <v>2678</v>
      </c>
      <c r="T617" t="str">
        <f>IFERROR(VLOOKUP(ROWS($T$3:T617),$R$3:$S$992,2,0),"")</f>
        <v>Velkoobchod s díly a příslušenstvím pro motorová vozidla,kromě motocyklů</v>
      </c>
      <c r="U617">
        <f>IF(ISNUMBER(SEARCH('1Př1'!$A$33,N617)),MAX($M$2:M616)+1,0)</f>
        <v>615</v>
      </c>
      <c r="V617" s="325" t="s">
        <v>2678</v>
      </c>
      <c r="W617" t="str">
        <f>IFERROR(VLOOKUP(ROWS($W$3:W617),$U$3:$V$992,2,0),"")</f>
        <v>Velkoobchod s díly a příslušenstvím pro motorová vozidla,kromě motocyklů</v>
      </c>
      <c r="X617">
        <f>IF(ISNUMBER(SEARCH('1Př1'!$A$34,N617)),MAX($M$2:M616)+1,0)</f>
        <v>615</v>
      </c>
      <c r="Y617" s="325" t="s">
        <v>2678</v>
      </c>
      <c r="Z617" t="str">
        <f>IFERROR(VLOOKUP(ROWS($Z$3:Z617),$X$3:$Y$992,2,0),"")</f>
        <v>Velkoobchod s díly a příslušenstvím pro motorová vozidla,kromě motocyklů</v>
      </c>
    </row>
    <row r="618" spans="13:26">
      <c r="M618" s="324">
        <f>IF(ISNUMBER(SEARCH(ZAKL_DATA!$B$29,N618)),MAX($M$2:M617)+1,0)</f>
        <v>616</v>
      </c>
      <c r="N618" s="325" t="s">
        <v>2680</v>
      </c>
      <c r="O618" s="340" t="s">
        <v>2681</v>
      </c>
      <c r="Q618" s="327" t="str">
        <f>IFERROR(VLOOKUP(ROWS($Q$3:Q618),$M$3:$N$992,2,0),"")</f>
        <v>Maloobchod s díly a příslušenstvím pro motorová vozidla,kromě motocyklů</v>
      </c>
      <c r="R618">
        <f>IF(ISNUMBER(SEARCH('1Př1'!$A$32,N618)),MAX($M$2:M617)+1,0)</f>
        <v>616</v>
      </c>
      <c r="S618" s="325" t="s">
        <v>2680</v>
      </c>
      <c r="T618" t="str">
        <f>IFERROR(VLOOKUP(ROWS($T$3:T618),$R$3:$S$992,2,0),"")</f>
        <v>Maloobchod s díly a příslušenstvím pro motorová vozidla,kromě motocyklů</v>
      </c>
      <c r="U618">
        <f>IF(ISNUMBER(SEARCH('1Př1'!$A$33,N618)),MAX($M$2:M617)+1,0)</f>
        <v>616</v>
      </c>
      <c r="V618" s="325" t="s">
        <v>2680</v>
      </c>
      <c r="W618" t="str">
        <f>IFERROR(VLOOKUP(ROWS($W$3:W618),$U$3:$V$992,2,0),"")</f>
        <v>Maloobchod s díly a příslušenstvím pro motorová vozidla,kromě motocyklů</v>
      </c>
      <c r="X618">
        <f>IF(ISNUMBER(SEARCH('1Př1'!$A$34,N618)),MAX($M$2:M617)+1,0)</f>
        <v>616</v>
      </c>
      <c r="Y618" s="325" t="s">
        <v>2680</v>
      </c>
      <c r="Z618" t="str">
        <f>IFERROR(VLOOKUP(ROWS($Z$3:Z618),$X$3:$Y$992,2,0),"")</f>
        <v>Maloobchod s díly a příslušenstvím pro motorová vozidla,kromě motocyklů</v>
      </c>
    </row>
    <row r="619" spans="13:26">
      <c r="M619" s="324">
        <f>IF(ISNUMBER(SEARCH(ZAKL_DATA!$B$29,N619)),MAX($M$2:M618)+1,0)</f>
        <v>617</v>
      </c>
      <c r="N619" s="325" t="s">
        <v>2682</v>
      </c>
      <c r="O619" s="340" t="s">
        <v>2683</v>
      </c>
      <c r="Q619" s="327" t="str">
        <f>IFERROR(VLOOKUP(ROWS($Q$3:Q619),$M$3:$N$992,2,0),"")</f>
        <v>Zprostř.velkoob.a velkoob.v zast.se zákl.zem.pr.,živými zv.,text.sur.a pol.</v>
      </c>
      <c r="R619">
        <f>IF(ISNUMBER(SEARCH('1Př1'!$A$32,N619)),MAX($M$2:M618)+1,0)</f>
        <v>617</v>
      </c>
      <c r="S619" s="325" t="s">
        <v>2682</v>
      </c>
      <c r="T619" t="str">
        <f>IFERROR(VLOOKUP(ROWS($T$3:T619),$R$3:$S$992,2,0),"")</f>
        <v>Zprostř.velkoob.a velkoob.v zast.se zákl.zem.pr.,živými zv.,text.sur.a pol.</v>
      </c>
      <c r="U619">
        <f>IF(ISNUMBER(SEARCH('1Př1'!$A$33,N619)),MAX($M$2:M618)+1,0)</f>
        <v>617</v>
      </c>
      <c r="V619" s="325" t="s">
        <v>2682</v>
      </c>
      <c r="W619" t="str">
        <f>IFERROR(VLOOKUP(ROWS($W$3:W619),$U$3:$V$992,2,0),"")</f>
        <v>Zprostř.velkoob.a velkoob.v zast.se zákl.zem.pr.,živými zv.,text.sur.a pol.</v>
      </c>
      <c r="X619">
        <f>IF(ISNUMBER(SEARCH('1Př1'!$A$34,N619)),MAX($M$2:M618)+1,0)</f>
        <v>617</v>
      </c>
      <c r="Y619" s="325" t="s">
        <v>2682</v>
      </c>
      <c r="Z619" t="str">
        <f>IFERROR(VLOOKUP(ROWS($Z$3:Z619),$X$3:$Y$992,2,0),"")</f>
        <v>Zprostř.velkoob.a velkoob.v zast.se zákl.zem.pr.,živými zv.,text.sur.a pol.</v>
      </c>
    </row>
    <row r="620" spans="13:26">
      <c r="M620" s="324">
        <f>IF(ISNUMBER(SEARCH(ZAKL_DATA!$B$29,N620)),MAX($M$2:M619)+1,0)</f>
        <v>618</v>
      </c>
      <c r="N620" s="325" t="s">
        <v>2684</v>
      </c>
      <c r="O620" s="340" t="s">
        <v>2685</v>
      </c>
      <c r="Q620" s="327" t="str">
        <f>IFERROR(VLOOKUP(ROWS($Q$3:Q620),$M$3:$N$992,2,0),"")</f>
        <v>Zprostř.velkoob.a velkoob.v zast.s palivy,rudami,kovy a prům.chemikáliemi</v>
      </c>
      <c r="R620">
        <f>IF(ISNUMBER(SEARCH('1Př1'!$A$32,N620)),MAX($M$2:M619)+1,0)</f>
        <v>618</v>
      </c>
      <c r="S620" s="325" t="s">
        <v>2684</v>
      </c>
      <c r="T620" t="str">
        <f>IFERROR(VLOOKUP(ROWS($T$3:T620),$R$3:$S$992,2,0),"")</f>
        <v>Zprostř.velkoob.a velkoob.v zast.s palivy,rudami,kovy a prům.chemikáliemi</v>
      </c>
      <c r="U620">
        <f>IF(ISNUMBER(SEARCH('1Př1'!$A$33,N620)),MAX($M$2:M619)+1,0)</f>
        <v>618</v>
      </c>
      <c r="V620" s="325" t="s">
        <v>2684</v>
      </c>
      <c r="W620" t="str">
        <f>IFERROR(VLOOKUP(ROWS($W$3:W620),$U$3:$V$992,2,0),"")</f>
        <v>Zprostř.velkoob.a velkoob.v zast.s palivy,rudami,kovy a prům.chemikáliemi</v>
      </c>
      <c r="X620">
        <f>IF(ISNUMBER(SEARCH('1Př1'!$A$34,N620)),MAX($M$2:M619)+1,0)</f>
        <v>618</v>
      </c>
      <c r="Y620" s="325" t="s">
        <v>2684</v>
      </c>
      <c r="Z620" t="str">
        <f>IFERROR(VLOOKUP(ROWS($Z$3:Z620),$X$3:$Y$992,2,0),"")</f>
        <v>Zprostř.velkoob.a velkoob.v zast.s palivy,rudami,kovy a prům.chemikáliemi</v>
      </c>
    </row>
    <row r="621" spans="13:26">
      <c r="M621" s="324">
        <f>IF(ISNUMBER(SEARCH(ZAKL_DATA!$B$29,N621)),MAX($M$2:M620)+1,0)</f>
        <v>619</v>
      </c>
      <c r="N621" s="325" t="s">
        <v>2686</v>
      </c>
      <c r="O621" s="340" t="s">
        <v>2687</v>
      </c>
      <c r="Q621" s="327" t="str">
        <f>IFERROR(VLOOKUP(ROWS($Q$3:Q621),$M$3:$N$992,2,0),"")</f>
        <v>Zprostř.velkoobchodu a velkoobchod v zast.se dřevem a staveb.materiály</v>
      </c>
      <c r="R621">
        <f>IF(ISNUMBER(SEARCH('1Př1'!$A$32,N621)),MAX($M$2:M620)+1,0)</f>
        <v>619</v>
      </c>
      <c r="S621" s="325" t="s">
        <v>2686</v>
      </c>
      <c r="T621" t="str">
        <f>IFERROR(VLOOKUP(ROWS($T$3:T621),$R$3:$S$992,2,0),"")</f>
        <v>Zprostř.velkoobchodu a velkoobchod v zast.se dřevem a staveb.materiály</v>
      </c>
      <c r="U621">
        <f>IF(ISNUMBER(SEARCH('1Př1'!$A$33,N621)),MAX($M$2:M620)+1,0)</f>
        <v>619</v>
      </c>
      <c r="V621" s="325" t="s">
        <v>2686</v>
      </c>
      <c r="W621" t="str">
        <f>IFERROR(VLOOKUP(ROWS($W$3:W621),$U$3:$V$992,2,0),"")</f>
        <v>Zprostř.velkoobchodu a velkoobchod v zast.se dřevem a staveb.materiály</v>
      </c>
      <c r="X621">
        <f>IF(ISNUMBER(SEARCH('1Př1'!$A$34,N621)),MAX($M$2:M620)+1,0)</f>
        <v>619</v>
      </c>
      <c r="Y621" s="325" t="s">
        <v>2686</v>
      </c>
      <c r="Z621" t="str">
        <f>IFERROR(VLOOKUP(ROWS($Z$3:Z621),$X$3:$Y$992,2,0),"")</f>
        <v>Zprostř.velkoobchodu a velkoobchod v zast.se dřevem a staveb.materiály</v>
      </c>
    </row>
    <row r="622" spans="13:26">
      <c r="M622" s="324">
        <f>IF(ISNUMBER(SEARCH(ZAKL_DATA!$B$29,N622)),MAX($M$2:M621)+1,0)</f>
        <v>620</v>
      </c>
      <c r="N622" s="325" t="s">
        <v>2688</v>
      </c>
      <c r="O622" s="340" t="s">
        <v>2689</v>
      </c>
      <c r="Q622" s="327" t="str">
        <f>IFERROR(VLOOKUP(ROWS($Q$3:Q622),$M$3:$N$992,2,0),"")</f>
        <v>Zprostř.velkoobchodu a velkoob.v zast.se stroji,prům.zař.,loděmi a letadly</v>
      </c>
      <c r="R622">
        <f>IF(ISNUMBER(SEARCH('1Př1'!$A$32,N622)),MAX($M$2:M621)+1,0)</f>
        <v>620</v>
      </c>
      <c r="S622" s="325" t="s">
        <v>2688</v>
      </c>
      <c r="T622" t="str">
        <f>IFERROR(VLOOKUP(ROWS($T$3:T622),$R$3:$S$992,2,0),"")</f>
        <v>Zprostř.velkoobchodu a velkoob.v zast.se stroji,prům.zař.,loděmi a letadly</v>
      </c>
      <c r="U622">
        <f>IF(ISNUMBER(SEARCH('1Př1'!$A$33,N622)),MAX($M$2:M621)+1,0)</f>
        <v>620</v>
      </c>
      <c r="V622" s="325" t="s">
        <v>2688</v>
      </c>
      <c r="W622" t="str">
        <f>IFERROR(VLOOKUP(ROWS($W$3:W622),$U$3:$V$992,2,0),"")</f>
        <v>Zprostř.velkoobchodu a velkoob.v zast.se stroji,prům.zař.,loděmi a letadly</v>
      </c>
      <c r="X622">
        <f>IF(ISNUMBER(SEARCH('1Př1'!$A$34,N622)),MAX($M$2:M621)+1,0)</f>
        <v>620</v>
      </c>
      <c r="Y622" s="325" t="s">
        <v>2688</v>
      </c>
      <c r="Z622" t="str">
        <f>IFERROR(VLOOKUP(ROWS($Z$3:Z622),$X$3:$Y$992,2,0),"")</f>
        <v>Zprostř.velkoobchodu a velkoob.v zast.se stroji,prům.zař.,loděmi a letadly</v>
      </c>
    </row>
    <row r="623" spans="13:26">
      <c r="M623" s="324">
        <f>IF(ISNUMBER(SEARCH(ZAKL_DATA!$B$29,N623)),MAX($M$2:M622)+1,0)</f>
        <v>621</v>
      </c>
      <c r="N623" s="325" t="s">
        <v>2690</v>
      </c>
      <c r="O623" s="340" t="s">
        <v>2691</v>
      </c>
      <c r="Q623" s="327" t="str">
        <f>IFERROR(VLOOKUP(ROWS($Q$3:Q623),$M$3:$N$992,2,0),"")</f>
        <v>Zprostř.velkoob.a velkoob.v zast.s náb.,želez.zbožím a potř.převáž.pro dom.</v>
      </c>
      <c r="R623">
        <f>IF(ISNUMBER(SEARCH('1Př1'!$A$32,N623)),MAX($M$2:M622)+1,0)</f>
        <v>621</v>
      </c>
      <c r="S623" s="325" t="s">
        <v>2690</v>
      </c>
      <c r="T623" t="str">
        <f>IFERROR(VLOOKUP(ROWS($T$3:T623),$R$3:$S$992,2,0),"")</f>
        <v>Zprostř.velkoob.a velkoob.v zast.s náb.,želez.zbožím a potř.převáž.pro dom.</v>
      </c>
      <c r="U623">
        <f>IF(ISNUMBER(SEARCH('1Př1'!$A$33,N623)),MAX($M$2:M622)+1,0)</f>
        <v>621</v>
      </c>
      <c r="V623" s="325" t="s">
        <v>2690</v>
      </c>
      <c r="W623" t="str">
        <f>IFERROR(VLOOKUP(ROWS($W$3:W623),$U$3:$V$992,2,0),"")</f>
        <v>Zprostř.velkoob.a velkoob.v zast.s náb.,želez.zbožím a potř.převáž.pro dom.</v>
      </c>
      <c r="X623">
        <f>IF(ISNUMBER(SEARCH('1Př1'!$A$34,N623)),MAX($M$2:M622)+1,0)</f>
        <v>621</v>
      </c>
      <c r="Y623" s="325" t="s">
        <v>2690</v>
      </c>
      <c r="Z623" t="str">
        <f>IFERROR(VLOOKUP(ROWS($Z$3:Z623),$X$3:$Y$992,2,0),"")</f>
        <v>Zprostř.velkoob.a velkoob.v zast.s náb.,želez.zbožím a potř.převáž.pro dom.</v>
      </c>
    </row>
    <row r="624" spans="13:26">
      <c r="M624" s="324">
        <f>IF(ISNUMBER(SEARCH(ZAKL_DATA!$B$29,N624)),MAX($M$2:M623)+1,0)</f>
        <v>622</v>
      </c>
      <c r="N624" s="325" t="s">
        <v>2692</v>
      </c>
      <c r="O624" s="340" t="s">
        <v>2693</v>
      </c>
      <c r="Q624" s="327" t="str">
        <f>IFERROR(VLOOKUP(ROWS($Q$3:Q624),$M$3:$N$992,2,0),"")</f>
        <v>Zprostř.velkoob.a velkoob.v zast.s text.,oděvy,kožešinami,obuví a kož.výr.</v>
      </c>
      <c r="R624">
        <f>IF(ISNUMBER(SEARCH('1Př1'!$A$32,N624)),MAX($M$2:M623)+1,0)</f>
        <v>622</v>
      </c>
      <c r="S624" s="325" t="s">
        <v>2692</v>
      </c>
      <c r="T624" t="str">
        <f>IFERROR(VLOOKUP(ROWS($T$3:T624),$R$3:$S$992,2,0),"")</f>
        <v>Zprostř.velkoob.a velkoob.v zast.s text.,oděvy,kožešinami,obuví a kož.výr.</v>
      </c>
      <c r="U624">
        <f>IF(ISNUMBER(SEARCH('1Př1'!$A$33,N624)),MAX($M$2:M623)+1,0)</f>
        <v>622</v>
      </c>
      <c r="V624" s="325" t="s">
        <v>2692</v>
      </c>
      <c r="W624" t="str">
        <f>IFERROR(VLOOKUP(ROWS($W$3:W624),$U$3:$V$992,2,0),"")</f>
        <v>Zprostř.velkoob.a velkoob.v zast.s text.,oděvy,kožešinami,obuví a kož.výr.</v>
      </c>
      <c r="X624">
        <f>IF(ISNUMBER(SEARCH('1Př1'!$A$34,N624)),MAX($M$2:M623)+1,0)</f>
        <v>622</v>
      </c>
      <c r="Y624" s="325" t="s">
        <v>2692</v>
      </c>
      <c r="Z624" t="str">
        <f>IFERROR(VLOOKUP(ROWS($Z$3:Z624),$X$3:$Y$992,2,0),"")</f>
        <v>Zprostř.velkoob.a velkoob.v zast.s text.,oděvy,kožešinami,obuví a kož.výr.</v>
      </c>
    </row>
    <row r="625" spans="13:26">
      <c r="M625" s="324">
        <f>IF(ISNUMBER(SEARCH(ZAKL_DATA!$B$29,N625)),MAX($M$2:M624)+1,0)</f>
        <v>623</v>
      </c>
      <c r="N625" s="325" t="s">
        <v>2694</v>
      </c>
      <c r="O625" s="340" t="s">
        <v>2695</v>
      </c>
      <c r="Q625" s="327" t="str">
        <f>IFERROR(VLOOKUP(ROWS($Q$3:Q625),$M$3:$N$992,2,0),"")</f>
        <v>Zprostř.velkoob.a velkoob.v zast.s potr.,nápoji,tabákem a tabák.výrobky</v>
      </c>
      <c r="R625">
        <f>IF(ISNUMBER(SEARCH('1Př1'!$A$32,N625)),MAX($M$2:M624)+1,0)</f>
        <v>623</v>
      </c>
      <c r="S625" s="325" t="s">
        <v>2694</v>
      </c>
      <c r="T625" t="str">
        <f>IFERROR(VLOOKUP(ROWS($T$3:T625),$R$3:$S$992,2,0),"")</f>
        <v>Zprostř.velkoob.a velkoob.v zast.s potr.,nápoji,tabákem a tabák.výrobky</v>
      </c>
      <c r="U625">
        <f>IF(ISNUMBER(SEARCH('1Př1'!$A$33,N625)),MAX($M$2:M624)+1,0)</f>
        <v>623</v>
      </c>
      <c r="V625" s="325" t="s">
        <v>2694</v>
      </c>
      <c r="W625" t="str">
        <f>IFERROR(VLOOKUP(ROWS($W$3:W625),$U$3:$V$992,2,0),"")</f>
        <v>Zprostř.velkoob.a velkoob.v zast.s potr.,nápoji,tabákem a tabák.výrobky</v>
      </c>
      <c r="X625">
        <f>IF(ISNUMBER(SEARCH('1Př1'!$A$34,N625)),MAX($M$2:M624)+1,0)</f>
        <v>623</v>
      </c>
      <c r="Y625" s="325" t="s">
        <v>2694</v>
      </c>
      <c r="Z625" t="str">
        <f>IFERROR(VLOOKUP(ROWS($Z$3:Z625),$X$3:$Y$992,2,0),"")</f>
        <v>Zprostř.velkoob.a velkoob.v zast.s potr.,nápoji,tabákem a tabák.výrobky</v>
      </c>
    </row>
    <row r="626" spans="13:26">
      <c r="M626" s="324">
        <f>IF(ISNUMBER(SEARCH(ZAKL_DATA!$B$29,N626)),MAX($M$2:M625)+1,0)</f>
        <v>624</v>
      </c>
      <c r="N626" s="325" t="s">
        <v>2696</v>
      </c>
      <c r="O626" s="340" t="s">
        <v>2697</v>
      </c>
      <c r="Q626" s="327" t="str">
        <f>IFERROR(VLOOKUP(ROWS($Q$3:Q626),$M$3:$N$992,2,0),"")</f>
        <v>Zprostř.specializ.velkoob.a specializ.velkoob.v zast.s ost.výrobky</v>
      </c>
      <c r="R626">
        <f>IF(ISNUMBER(SEARCH('1Př1'!$A$32,N626)),MAX($M$2:M625)+1,0)</f>
        <v>624</v>
      </c>
      <c r="S626" s="325" t="s">
        <v>2696</v>
      </c>
      <c r="T626" t="str">
        <f>IFERROR(VLOOKUP(ROWS($T$3:T626),$R$3:$S$992,2,0),"")</f>
        <v>Zprostř.specializ.velkoob.a specializ.velkoob.v zast.s ost.výrobky</v>
      </c>
      <c r="U626">
        <f>IF(ISNUMBER(SEARCH('1Př1'!$A$33,N626)),MAX($M$2:M625)+1,0)</f>
        <v>624</v>
      </c>
      <c r="V626" s="325" t="s">
        <v>2696</v>
      </c>
      <c r="W626" t="str">
        <f>IFERROR(VLOOKUP(ROWS($W$3:W626),$U$3:$V$992,2,0),"")</f>
        <v>Zprostř.specializ.velkoob.a specializ.velkoob.v zast.s ost.výrobky</v>
      </c>
      <c r="X626">
        <f>IF(ISNUMBER(SEARCH('1Př1'!$A$34,N626)),MAX($M$2:M625)+1,0)</f>
        <v>624</v>
      </c>
      <c r="Y626" s="325" t="s">
        <v>2696</v>
      </c>
      <c r="Z626" t="str">
        <f>IFERROR(VLOOKUP(ROWS($Z$3:Z626),$X$3:$Y$992,2,0),"")</f>
        <v>Zprostř.specializ.velkoob.a specializ.velkoob.v zast.s ost.výrobky</v>
      </c>
    </row>
    <row r="627" spans="13:26">
      <c r="M627" s="324">
        <f>IF(ISNUMBER(SEARCH(ZAKL_DATA!$B$29,N627)),MAX($M$2:M626)+1,0)</f>
        <v>625</v>
      </c>
      <c r="N627" s="325" t="s">
        <v>2698</v>
      </c>
      <c r="O627" s="340" t="s">
        <v>2699</v>
      </c>
      <c r="Q627" s="327" t="str">
        <f>IFERROR(VLOOKUP(ROWS($Q$3:Q627),$M$3:$N$992,2,0),"")</f>
        <v>Zprostř.nespecializ.velkoobchodu a nespecializ.velkoobchod v zast.</v>
      </c>
      <c r="R627">
        <f>IF(ISNUMBER(SEARCH('1Př1'!$A$32,N627)),MAX($M$2:M626)+1,0)</f>
        <v>625</v>
      </c>
      <c r="S627" s="325" t="s">
        <v>2698</v>
      </c>
      <c r="T627" t="str">
        <f>IFERROR(VLOOKUP(ROWS($T$3:T627),$R$3:$S$992,2,0),"")</f>
        <v>Zprostř.nespecializ.velkoobchodu a nespecializ.velkoobchod v zast.</v>
      </c>
      <c r="U627">
        <f>IF(ISNUMBER(SEARCH('1Př1'!$A$33,N627)),MAX($M$2:M626)+1,0)</f>
        <v>625</v>
      </c>
      <c r="V627" s="325" t="s">
        <v>2698</v>
      </c>
      <c r="W627" t="str">
        <f>IFERROR(VLOOKUP(ROWS($W$3:W627),$U$3:$V$992,2,0),"")</f>
        <v>Zprostř.nespecializ.velkoobchodu a nespecializ.velkoobchod v zast.</v>
      </c>
      <c r="X627">
        <f>IF(ISNUMBER(SEARCH('1Př1'!$A$34,N627)),MAX($M$2:M626)+1,0)</f>
        <v>625</v>
      </c>
      <c r="Y627" s="325" t="s">
        <v>2698</v>
      </c>
      <c r="Z627" t="str">
        <f>IFERROR(VLOOKUP(ROWS($Z$3:Z627),$X$3:$Y$992,2,0),"")</f>
        <v>Zprostř.nespecializ.velkoobchodu a nespecializ.velkoobchod v zast.</v>
      </c>
    </row>
    <row r="628" spans="13:26">
      <c r="M628" s="324">
        <f>IF(ISNUMBER(SEARCH(ZAKL_DATA!$B$29,N628)),MAX($M$2:M627)+1,0)</f>
        <v>626</v>
      </c>
      <c r="N628" s="325" t="s">
        <v>2700</v>
      </c>
      <c r="O628" s="340" t="s">
        <v>2701</v>
      </c>
      <c r="Q628" s="327" t="str">
        <f>IFERROR(VLOOKUP(ROWS($Q$3:Q628),$M$3:$N$992,2,0),"")</f>
        <v>Velkoobchod s obilím, surovým tabákem, osivy a krmivy</v>
      </c>
      <c r="R628">
        <f>IF(ISNUMBER(SEARCH('1Př1'!$A$32,N628)),MAX($M$2:M627)+1,0)</f>
        <v>626</v>
      </c>
      <c r="S628" s="325" t="s">
        <v>2700</v>
      </c>
      <c r="T628" t="str">
        <f>IFERROR(VLOOKUP(ROWS($T$3:T628),$R$3:$S$992,2,0),"")</f>
        <v>Velkoobchod s obilím, surovým tabákem, osivy a krmivy</v>
      </c>
      <c r="U628">
        <f>IF(ISNUMBER(SEARCH('1Př1'!$A$33,N628)),MAX($M$2:M627)+1,0)</f>
        <v>626</v>
      </c>
      <c r="V628" s="325" t="s">
        <v>2700</v>
      </c>
      <c r="W628" t="str">
        <f>IFERROR(VLOOKUP(ROWS($W$3:W628),$U$3:$V$992,2,0),"")</f>
        <v>Velkoobchod s obilím, surovým tabákem, osivy a krmivy</v>
      </c>
      <c r="X628">
        <f>IF(ISNUMBER(SEARCH('1Př1'!$A$34,N628)),MAX($M$2:M627)+1,0)</f>
        <v>626</v>
      </c>
      <c r="Y628" s="325" t="s">
        <v>2700</v>
      </c>
      <c r="Z628" t="str">
        <f>IFERROR(VLOOKUP(ROWS($Z$3:Z628),$X$3:$Y$992,2,0),"")</f>
        <v>Velkoobchod s obilím, surovým tabákem, osivy a krmivy</v>
      </c>
    </row>
    <row r="629" spans="13:26">
      <c r="M629" s="324">
        <f>IF(ISNUMBER(SEARCH(ZAKL_DATA!$B$29,N629)),MAX($M$2:M628)+1,0)</f>
        <v>627</v>
      </c>
      <c r="N629" s="325" t="s">
        <v>2702</v>
      </c>
      <c r="O629" s="340" t="s">
        <v>2703</v>
      </c>
      <c r="Q629" s="327" t="str">
        <f>IFERROR(VLOOKUP(ROWS($Q$3:Q629),$M$3:$N$992,2,0),"")</f>
        <v>Velkoobchod s květinami a jinými rostlinami</v>
      </c>
      <c r="R629">
        <f>IF(ISNUMBER(SEARCH('1Př1'!$A$32,N629)),MAX($M$2:M628)+1,0)</f>
        <v>627</v>
      </c>
      <c r="S629" s="325" t="s">
        <v>2702</v>
      </c>
      <c r="T629" t="str">
        <f>IFERROR(VLOOKUP(ROWS($T$3:T629),$R$3:$S$992,2,0),"")</f>
        <v>Velkoobchod s květinami a jinými rostlinami</v>
      </c>
      <c r="U629">
        <f>IF(ISNUMBER(SEARCH('1Př1'!$A$33,N629)),MAX($M$2:M628)+1,0)</f>
        <v>627</v>
      </c>
      <c r="V629" s="325" t="s">
        <v>2702</v>
      </c>
      <c r="W629" t="str">
        <f>IFERROR(VLOOKUP(ROWS($W$3:W629),$U$3:$V$992,2,0),"")</f>
        <v>Velkoobchod s květinami a jinými rostlinami</v>
      </c>
      <c r="X629">
        <f>IF(ISNUMBER(SEARCH('1Př1'!$A$34,N629)),MAX($M$2:M628)+1,0)</f>
        <v>627</v>
      </c>
      <c r="Y629" s="325" t="s">
        <v>2702</v>
      </c>
      <c r="Z629" t="str">
        <f>IFERROR(VLOOKUP(ROWS($Z$3:Z629),$X$3:$Y$992,2,0),"")</f>
        <v>Velkoobchod s květinami a jinými rostlinami</v>
      </c>
    </row>
    <row r="630" spans="13:26">
      <c r="M630" s="324">
        <f>IF(ISNUMBER(SEARCH(ZAKL_DATA!$B$29,N630)),MAX($M$2:M629)+1,0)</f>
        <v>628</v>
      </c>
      <c r="N630" s="325" t="s">
        <v>2704</v>
      </c>
      <c r="O630" s="340" t="s">
        <v>2705</v>
      </c>
      <c r="Q630" s="327" t="str">
        <f>IFERROR(VLOOKUP(ROWS($Q$3:Q630),$M$3:$N$992,2,0),"")</f>
        <v>Velkoobchod s živými zvířaty</v>
      </c>
      <c r="R630">
        <f>IF(ISNUMBER(SEARCH('1Př1'!$A$32,N630)),MAX($M$2:M629)+1,0)</f>
        <v>628</v>
      </c>
      <c r="S630" s="325" t="s">
        <v>2704</v>
      </c>
      <c r="T630" t="str">
        <f>IFERROR(VLOOKUP(ROWS($T$3:T630),$R$3:$S$992,2,0),"")</f>
        <v>Velkoobchod s živými zvířaty</v>
      </c>
      <c r="U630">
        <f>IF(ISNUMBER(SEARCH('1Př1'!$A$33,N630)),MAX($M$2:M629)+1,0)</f>
        <v>628</v>
      </c>
      <c r="V630" s="325" t="s">
        <v>2704</v>
      </c>
      <c r="W630" t="str">
        <f>IFERROR(VLOOKUP(ROWS($W$3:W630),$U$3:$V$992,2,0),"")</f>
        <v>Velkoobchod s živými zvířaty</v>
      </c>
      <c r="X630">
        <f>IF(ISNUMBER(SEARCH('1Př1'!$A$34,N630)),MAX($M$2:M629)+1,0)</f>
        <v>628</v>
      </c>
      <c r="Y630" s="325" t="s">
        <v>2704</v>
      </c>
      <c r="Z630" t="str">
        <f>IFERROR(VLOOKUP(ROWS($Z$3:Z630),$X$3:$Y$992,2,0),"")</f>
        <v>Velkoobchod s živými zvířaty</v>
      </c>
    </row>
    <row r="631" spans="13:26">
      <c r="M631" s="324">
        <f>IF(ISNUMBER(SEARCH(ZAKL_DATA!$B$29,N631)),MAX($M$2:M630)+1,0)</f>
        <v>629</v>
      </c>
      <c r="N631" s="325" t="s">
        <v>2706</v>
      </c>
      <c r="O631" s="340" t="s">
        <v>2707</v>
      </c>
      <c r="Q631" s="327" t="str">
        <f>IFERROR(VLOOKUP(ROWS($Q$3:Q631),$M$3:$N$992,2,0),"")</f>
        <v>Velkoobchod se surovými kůžemi, kožešinami a usněmi</v>
      </c>
      <c r="R631">
        <f>IF(ISNUMBER(SEARCH('1Př1'!$A$32,N631)),MAX($M$2:M630)+1,0)</f>
        <v>629</v>
      </c>
      <c r="S631" s="325" t="s">
        <v>2706</v>
      </c>
      <c r="T631" t="str">
        <f>IFERROR(VLOOKUP(ROWS($T$3:T631),$R$3:$S$992,2,0),"")</f>
        <v>Velkoobchod se surovými kůžemi, kožešinami a usněmi</v>
      </c>
      <c r="U631">
        <f>IF(ISNUMBER(SEARCH('1Př1'!$A$33,N631)),MAX($M$2:M630)+1,0)</f>
        <v>629</v>
      </c>
      <c r="V631" s="325" t="s">
        <v>2706</v>
      </c>
      <c r="W631" t="str">
        <f>IFERROR(VLOOKUP(ROWS($W$3:W631),$U$3:$V$992,2,0),"")</f>
        <v>Velkoobchod se surovými kůžemi, kožešinami a usněmi</v>
      </c>
      <c r="X631">
        <f>IF(ISNUMBER(SEARCH('1Př1'!$A$34,N631)),MAX($M$2:M630)+1,0)</f>
        <v>629</v>
      </c>
      <c r="Y631" s="325" t="s">
        <v>2706</v>
      </c>
      <c r="Z631" t="str">
        <f>IFERROR(VLOOKUP(ROWS($Z$3:Z631),$X$3:$Y$992,2,0),"")</f>
        <v>Velkoobchod se surovými kůžemi, kožešinami a usněmi</v>
      </c>
    </row>
    <row r="632" spans="13:26">
      <c r="M632" s="324">
        <f>IF(ISNUMBER(SEARCH(ZAKL_DATA!$B$29,N632)),MAX($M$2:M631)+1,0)</f>
        <v>630</v>
      </c>
      <c r="N632" s="325" t="s">
        <v>2708</v>
      </c>
      <c r="O632" s="340" t="s">
        <v>2709</v>
      </c>
      <c r="Q632" s="327" t="str">
        <f>IFERROR(VLOOKUP(ROWS($Q$3:Q632),$M$3:$N$992,2,0),"")</f>
        <v>Velkoobchod s ovocem a zeleninou</v>
      </c>
      <c r="R632">
        <f>IF(ISNUMBER(SEARCH('1Př1'!$A$32,N632)),MAX($M$2:M631)+1,0)</f>
        <v>630</v>
      </c>
      <c r="S632" s="325" t="s">
        <v>2708</v>
      </c>
      <c r="T632" t="str">
        <f>IFERROR(VLOOKUP(ROWS($T$3:T632),$R$3:$S$992,2,0),"")</f>
        <v>Velkoobchod s ovocem a zeleninou</v>
      </c>
      <c r="U632">
        <f>IF(ISNUMBER(SEARCH('1Př1'!$A$33,N632)),MAX($M$2:M631)+1,0)</f>
        <v>630</v>
      </c>
      <c r="V632" s="325" t="s">
        <v>2708</v>
      </c>
      <c r="W632" t="str">
        <f>IFERROR(VLOOKUP(ROWS($W$3:W632),$U$3:$V$992,2,0),"")</f>
        <v>Velkoobchod s ovocem a zeleninou</v>
      </c>
      <c r="X632">
        <f>IF(ISNUMBER(SEARCH('1Př1'!$A$34,N632)),MAX($M$2:M631)+1,0)</f>
        <v>630</v>
      </c>
      <c r="Y632" s="325" t="s">
        <v>2708</v>
      </c>
      <c r="Z632" t="str">
        <f>IFERROR(VLOOKUP(ROWS($Z$3:Z632),$X$3:$Y$992,2,0),"")</f>
        <v>Velkoobchod s ovocem a zeleninou</v>
      </c>
    </row>
    <row r="633" spans="13:26">
      <c r="M633" s="324">
        <f>IF(ISNUMBER(SEARCH(ZAKL_DATA!$B$29,N633)),MAX($M$2:M632)+1,0)</f>
        <v>631</v>
      </c>
      <c r="N633" s="325" t="s">
        <v>2710</v>
      </c>
      <c r="O633" s="340" t="s">
        <v>2711</v>
      </c>
      <c r="Q633" s="327" t="str">
        <f>IFERROR(VLOOKUP(ROWS($Q$3:Q633),$M$3:$N$992,2,0),"")</f>
        <v>Velkoobchod s masem a masnými výrobky</v>
      </c>
      <c r="R633">
        <f>IF(ISNUMBER(SEARCH('1Př1'!$A$32,N633)),MAX($M$2:M632)+1,0)</f>
        <v>631</v>
      </c>
      <c r="S633" s="325" t="s">
        <v>2710</v>
      </c>
      <c r="T633" t="str">
        <f>IFERROR(VLOOKUP(ROWS($T$3:T633),$R$3:$S$992,2,0),"")</f>
        <v>Velkoobchod s masem a masnými výrobky</v>
      </c>
      <c r="U633">
        <f>IF(ISNUMBER(SEARCH('1Př1'!$A$33,N633)),MAX($M$2:M632)+1,0)</f>
        <v>631</v>
      </c>
      <c r="V633" s="325" t="s">
        <v>2710</v>
      </c>
      <c r="W633" t="str">
        <f>IFERROR(VLOOKUP(ROWS($W$3:W633),$U$3:$V$992,2,0),"")</f>
        <v>Velkoobchod s masem a masnými výrobky</v>
      </c>
      <c r="X633">
        <f>IF(ISNUMBER(SEARCH('1Př1'!$A$34,N633)),MAX($M$2:M632)+1,0)</f>
        <v>631</v>
      </c>
      <c r="Y633" s="325" t="s">
        <v>2710</v>
      </c>
      <c r="Z633" t="str">
        <f>IFERROR(VLOOKUP(ROWS($Z$3:Z633),$X$3:$Y$992,2,0),"")</f>
        <v>Velkoobchod s masem a masnými výrobky</v>
      </c>
    </row>
    <row r="634" spans="13:26">
      <c r="M634" s="324">
        <f>IF(ISNUMBER(SEARCH(ZAKL_DATA!$B$29,N634)),MAX($M$2:M633)+1,0)</f>
        <v>632</v>
      </c>
      <c r="N634" s="325" t="s">
        <v>2712</v>
      </c>
      <c r="O634" s="340" t="s">
        <v>2713</v>
      </c>
      <c r="Q634" s="327" t="str">
        <f>IFERROR(VLOOKUP(ROWS($Q$3:Q634),$M$3:$N$992,2,0),"")</f>
        <v>Velkoobchod s mléčnými výrobky, vejci, jedlými oleji a tuky</v>
      </c>
      <c r="R634">
        <f>IF(ISNUMBER(SEARCH('1Př1'!$A$32,N634)),MAX($M$2:M633)+1,0)</f>
        <v>632</v>
      </c>
      <c r="S634" s="325" t="s">
        <v>2712</v>
      </c>
      <c r="T634" t="str">
        <f>IFERROR(VLOOKUP(ROWS($T$3:T634),$R$3:$S$992,2,0),"")</f>
        <v>Velkoobchod s mléčnými výrobky, vejci, jedlými oleji a tuky</v>
      </c>
      <c r="U634">
        <f>IF(ISNUMBER(SEARCH('1Př1'!$A$33,N634)),MAX($M$2:M633)+1,0)</f>
        <v>632</v>
      </c>
      <c r="V634" s="325" t="s">
        <v>2712</v>
      </c>
      <c r="W634" t="str">
        <f>IFERROR(VLOOKUP(ROWS($W$3:W634),$U$3:$V$992,2,0),"")</f>
        <v>Velkoobchod s mléčnými výrobky, vejci, jedlými oleji a tuky</v>
      </c>
      <c r="X634">
        <f>IF(ISNUMBER(SEARCH('1Př1'!$A$34,N634)),MAX($M$2:M633)+1,0)</f>
        <v>632</v>
      </c>
      <c r="Y634" s="325" t="s">
        <v>2712</v>
      </c>
      <c r="Z634" t="str">
        <f>IFERROR(VLOOKUP(ROWS($Z$3:Z634),$X$3:$Y$992,2,0),"")</f>
        <v>Velkoobchod s mléčnými výrobky, vejci, jedlými oleji a tuky</v>
      </c>
    </row>
    <row r="635" spans="13:26">
      <c r="M635" s="324">
        <f>IF(ISNUMBER(SEARCH(ZAKL_DATA!$B$29,N635)),MAX($M$2:M634)+1,0)</f>
        <v>633</v>
      </c>
      <c r="N635" s="325" t="s">
        <v>2714</v>
      </c>
      <c r="O635" s="340" t="s">
        <v>2715</v>
      </c>
      <c r="Q635" s="327" t="str">
        <f>IFERROR(VLOOKUP(ROWS($Q$3:Q635),$M$3:$N$992,2,0),"")</f>
        <v>Velkoobchod s nápoji</v>
      </c>
      <c r="R635">
        <f>IF(ISNUMBER(SEARCH('1Př1'!$A$32,N635)),MAX($M$2:M634)+1,0)</f>
        <v>633</v>
      </c>
      <c r="S635" s="325" t="s">
        <v>2714</v>
      </c>
      <c r="T635" t="str">
        <f>IFERROR(VLOOKUP(ROWS($T$3:T635),$R$3:$S$992,2,0),"")</f>
        <v>Velkoobchod s nápoji</v>
      </c>
      <c r="U635">
        <f>IF(ISNUMBER(SEARCH('1Př1'!$A$33,N635)),MAX($M$2:M634)+1,0)</f>
        <v>633</v>
      </c>
      <c r="V635" s="325" t="s">
        <v>2714</v>
      </c>
      <c r="W635" t="str">
        <f>IFERROR(VLOOKUP(ROWS($W$3:W635),$U$3:$V$992,2,0),"")</f>
        <v>Velkoobchod s nápoji</v>
      </c>
      <c r="X635">
        <f>IF(ISNUMBER(SEARCH('1Př1'!$A$34,N635)),MAX($M$2:M634)+1,0)</f>
        <v>633</v>
      </c>
      <c r="Y635" s="325" t="s">
        <v>2714</v>
      </c>
      <c r="Z635" t="str">
        <f>IFERROR(VLOOKUP(ROWS($Z$3:Z635),$X$3:$Y$992,2,0),"")</f>
        <v>Velkoobchod s nápoji</v>
      </c>
    </row>
    <row r="636" spans="13:26">
      <c r="M636" s="324">
        <f>IF(ISNUMBER(SEARCH(ZAKL_DATA!$B$29,N636)),MAX($M$2:M635)+1,0)</f>
        <v>634</v>
      </c>
      <c r="N636" s="325" t="s">
        <v>2716</v>
      </c>
      <c r="O636" s="340" t="s">
        <v>2717</v>
      </c>
      <c r="Q636" s="327" t="str">
        <f>IFERROR(VLOOKUP(ROWS($Q$3:Q636),$M$3:$N$992,2,0),"")</f>
        <v>Velkoobchod s tabákovými výrobky</v>
      </c>
      <c r="R636">
        <f>IF(ISNUMBER(SEARCH('1Př1'!$A$32,N636)),MAX($M$2:M635)+1,0)</f>
        <v>634</v>
      </c>
      <c r="S636" s="325" t="s">
        <v>2716</v>
      </c>
      <c r="T636" t="str">
        <f>IFERROR(VLOOKUP(ROWS($T$3:T636),$R$3:$S$992,2,0),"")</f>
        <v>Velkoobchod s tabákovými výrobky</v>
      </c>
      <c r="U636">
        <f>IF(ISNUMBER(SEARCH('1Př1'!$A$33,N636)),MAX($M$2:M635)+1,0)</f>
        <v>634</v>
      </c>
      <c r="V636" s="325" t="s">
        <v>2716</v>
      </c>
      <c r="W636" t="str">
        <f>IFERROR(VLOOKUP(ROWS($W$3:W636),$U$3:$V$992,2,0),"")</f>
        <v>Velkoobchod s tabákovými výrobky</v>
      </c>
      <c r="X636">
        <f>IF(ISNUMBER(SEARCH('1Př1'!$A$34,N636)),MAX($M$2:M635)+1,0)</f>
        <v>634</v>
      </c>
      <c r="Y636" s="325" t="s">
        <v>2716</v>
      </c>
      <c r="Z636" t="str">
        <f>IFERROR(VLOOKUP(ROWS($Z$3:Z636),$X$3:$Y$992,2,0),"")</f>
        <v>Velkoobchod s tabákovými výrobky</v>
      </c>
    </row>
    <row r="637" spans="13:26">
      <c r="M637" s="324">
        <f>IF(ISNUMBER(SEARCH(ZAKL_DATA!$B$29,N637)),MAX($M$2:M636)+1,0)</f>
        <v>635</v>
      </c>
      <c r="N637" s="325" t="s">
        <v>2718</v>
      </c>
      <c r="O637" s="340" t="s">
        <v>2719</v>
      </c>
      <c r="Q637" s="327" t="str">
        <f>IFERROR(VLOOKUP(ROWS($Q$3:Q637),$M$3:$N$992,2,0),"")</f>
        <v>Velkoobchod s cukrem, čokoládou a cukrovinkami</v>
      </c>
      <c r="R637">
        <f>IF(ISNUMBER(SEARCH('1Př1'!$A$32,N637)),MAX($M$2:M636)+1,0)</f>
        <v>635</v>
      </c>
      <c r="S637" s="325" t="s">
        <v>2718</v>
      </c>
      <c r="T637" t="str">
        <f>IFERROR(VLOOKUP(ROWS($T$3:T637),$R$3:$S$992,2,0),"")</f>
        <v>Velkoobchod s cukrem, čokoládou a cukrovinkami</v>
      </c>
      <c r="U637">
        <f>IF(ISNUMBER(SEARCH('1Př1'!$A$33,N637)),MAX($M$2:M636)+1,0)</f>
        <v>635</v>
      </c>
      <c r="V637" s="325" t="s">
        <v>2718</v>
      </c>
      <c r="W637" t="str">
        <f>IFERROR(VLOOKUP(ROWS($W$3:W637),$U$3:$V$992,2,0),"")</f>
        <v>Velkoobchod s cukrem, čokoládou a cukrovinkami</v>
      </c>
      <c r="X637">
        <f>IF(ISNUMBER(SEARCH('1Př1'!$A$34,N637)),MAX($M$2:M636)+1,0)</f>
        <v>635</v>
      </c>
      <c r="Y637" s="325" t="s">
        <v>2718</v>
      </c>
      <c r="Z637" t="str">
        <f>IFERROR(VLOOKUP(ROWS($Z$3:Z637),$X$3:$Y$992,2,0),"")</f>
        <v>Velkoobchod s cukrem, čokoládou a cukrovinkami</v>
      </c>
    </row>
    <row r="638" spans="13:26">
      <c r="M638" s="324">
        <f>IF(ISNUMBER(SEARCH(ZAKL_DATA!$B$29,N638)),MAX($M$2:M637)+1,0)</f>
        <v>636</v>
      </c>
      <c r="N638" s="325" t="s">
        <v>2720</v>
      </c>
      <c r="O638" s="340" t="s">
        <v>2721</v>
      </c>
      <c r="Q638" s="327" t="str">
        <f>IFERROR(VLOOKUP(ROWS($Q$3:Q638),$M$3:$N$992,2,0),"")</f>
        <v>Velkoobchod s kávou, čajem, kakaem a kořením</v>
      </c>
      <c r="R638">
        <f>IF(ISNUMBER(SEARCH('1Př1'!$A$32,N638)),MAX($M$2:M637)+1,0)</f>
        <v>636</v>
      </c>
      <c r="S638" s="325" t="s">
        <v>2720</v>
      </c>
      <c r="T638" t="str">
        <f>IFERROR(VLOOKUP(ROWS($T$3:T638),$R$3:$S$992,2,0),"")</f>
        <v>Velkoobchod s kávou, čajem, kakaem a kořením</v>
      </c>
      <c r="U638">
        <f>IF(ISNUMBER(SEARCH('1Př1'!$A$33,N638)),MAX($M$2:M637)+1,0)</f>
        <v>636</v>
      </c>
      <c r="V638" s="325" t="s">
        <v>2720</v>
      </c>
      <c r="W638" t="str">
        <f>IFERROR(VLOOKUP(ROWS($W$3:W638),$U$3:$V$992,2,0),"")</f>
        <v>Velkoobchod s kávou, čajem, kakaem a kořením</v>
      </c>
      <c r="X638">
        <f>IF(ISNUMBER(SEARCH('1Př1'!$A$34,N638)),MAX($M$2:M637)+1,0)</f>
        <v>636</v>
      </c>
      <c r="Y638" s="325" t="s">
        <v>2720</v>
      </c>
      <c r="Z638" t="str">
        <f>IFERROR(VLOOKUP(ROWS($Z$3:Z638),$X$3:$Y$992,2,0),"")</f>
        <v>Velkoobchod s kávou, čajem, kakaem a kořením</v>
      </c>
    </row>
    <row r="639" spans="13:26">
      <c r="M639" s="324">
        <f>IF(ISNUMBER(SEARCH(ZAKL_DATA!$B$29,N639)),MAX($M$2:M638)+1,0)</f>
        <v>637</v>
      </c>
      <c r="N639" s="325" t="s">
        <v>2722</v>
      </c>
      <c r="O639" s="340" t="s">
        <v>2723</v>
      </c>
      <c r="Q639" s="327" t="str">
        <f>IFERROR(VLOOKUP(ROWS($Q$3:Q639),$M$3:$N$992,2,0),"")</f>
        <v>Specializ.velkoobchod s jinými potravinami,včetně ryb,korýšů a měkkýšů</v>
      </c>
      <c r="R639">
        <f>IF(ISNUMBER(SEARCH('1Př1'!$A$32,N639)),MAX($M$2:M638)+1,0)</f>
        <v>637</v>
      </c>
      <c r="S639" s="325" t="s">
        <v>2722</v>
      </c>
      <c r="T639" t="str">
        <f>IFERROR(VLOOKUP(ROWS($T$3:T639),$R$3:$S$992,2,0),"")</f>
        <v>Specializ.velkoobchod s jinými potravinami,včetně ryb,korýšů a měkkýšů</v>
      </c>
      <c r="U639">
        <f>IF(ISNUMBER(SEARCH('1Př1'!$A$33,N639)),MAX($M$2:M638)+1,0)</f>
        <v>637</v>
      </c>
      <c r="V639" s="325" t="s">
        <v>2722</v>
      </c>
      <c r="W639" t="str">
        <f>IFERROR(VLOOKUP(ROWS($W$3:W639),$U$3:$V$992,2,0),"")</f>
        <v>Specializ.velkoobchod s jinými potravinami,včetně ryb,korýšů a měkkýšů</v>
      </c>
      <c r="X639">
        <f>IF(ISNUMBER(SEARCH('1Př1'!$A$34,N639)),MAX($M$2:M638)+1,0)</f>
        <v>637</v>
      </c>
      <c r="Y639" s="325" t="s">
        <v>2722</v>
      </c>
      <c r="Z639" t="str">
        <f>IFERROR(VLOOKUP(ROWS($Z$3:Z639),$X$3:$Y$992,2,0),"")</f>
        <v>Specializ.velkoobchod s jinými potravinami,včetně ryb,korýšů a měkkýšů</v>
      </c>
    </row>
    <row r="640" spans="13:26">
      <c r="M640" s="324">
        <f>IF(ISNUMBER(SEARCH(ZAKL_DATA!$B$29,N640)),MAX($M$2:M639)+1,0)</f>
        <v>638</v>
      </c>
      <c r="N640" s="325" t="s">
        <v>2724</v>
      </c>
      <c r="O640" s="340" t="s">
        <v>2725</v>
      </c>
      <c r="Q640" s="327" t="str">
        <f>IFERROR(VLOOKUP(ROWS($Q$3:Q640),$M$3:$N$992,2,0),"")</f>
        <v>Nespecializovaný velkoobchod s potravinami,nápoji a tabákovými výroby</v>
      </c>
      <c r="R640">
        <f>IF(ISNUMBER(SEARCH('1Př1'!$A$32,N640)),MAX($M$2:M639)+1,0)</f>
        <v>638</v>
      </c>
      <c r="S640" s="325" t="s">
        <v>2724</v>
      </c>
      <c r="T640" t="str">
        <f>IFERROR(VLOOKUP(ROWS($T$3:T640),$R$3:$S$992,2,0),"")</f>
        <v>Nespecializovaný velkoobchod s potravinami,nápoji a tabákovými výroby</v>
      </c>
      <c r="U640">
        <f>IF(ISNUMBER(SEARCH('1Př1'!$A$33,N640)),MAX($M$2:M639)+1,0)</f>
        <v>638</v>
      </c>
      <c r="V640" s="325" t="s">
        <v>2724</v>
      </c>
      <c r="W640" t="str">
        <f>IFERROR(VLOOKUP(ROWS($W$3:W640),$U$3:$V$992,2,0),"")</f>
        <v>Nespecializovaný velkoobchod s potravinami,nápoji a tabákovými výroby</v>
      </c>
      <c r="X640">
        <f>IF(ISNUMBER(SEARCH('1Př1'!$A$34,N640)),MAX($M$2:M639)+1,0)</f>
        <v>638</v>
      </c>
      <c r="Y640" s="325" t="s">
        <v>2724</v>
      </c>
      <c r="Z640" t="str">
        <f>IFERROR(VLOOKUP(ROWS($Z$3:Z640),$X$3:$Y$992,2,0),"")</f>
        <v>Nespecializovaný velkoobchod s potravinami,nápoji a tabákovými výroby</v>
      </c>
    </row>
    <row r="641" spans="13:26">
      <c r="M641" s="324">
        <f>IF(ISNUMBER(SEARCH(ZAKL_DATA!$B$29,N641)),MAX($M$2:M640)+1,0)</f>
        <v>639</v>
      </c>
      <c r="N641" s="325" t="s">
        <v>2726</v>
      </c>
      <c r="O641" s="340" t="s">
        <v>2727</v>
      </c>
      <c r="Q641" s="327" t="str">
        <f>IFERROR(VLOOKUP(ROWS($Q$3:Q641),$M$3:$N$992,2,0),"")</f>
        <v>Velkoobchod s textilem</v>
      </c>
      <c r="R641">
        <f>IF(ISNUMBER(SEARCH('1Př1'!$A$32,N641)),MAX($M$2:M640)+1,0)</f>
        <v>639</v>
      </c>
      <c r="S641" s="325" t="s">
        <v>2726</v>
      </c>
      <c r="T641" t="str">
        <f>IFERROR(VLOOKUP(ROWS($T$3:T641),$R$3:$S$992,2,0),"")</f>
        <v>Velkoobchod s textilem</v>
      </c>
      <c r="U641">
        <f>IF(ISNUMBER(SEARCH('1Př1'!$A$33,N641)),MAX($M$2:M640)+1,0)</f>
        <v>639</v>
      </c>
      <c r="V641" s="325" t="s">
        <v>2726</v>
      </c>
      <c r="W641" t="str">
        <f>IFERROR(VLOOKUP(ROWS($W$3:W641),$U$3:$V$992,2,0),"")</f>
        <v>Velkoobchod s textilem</v>
      </c>
      <c r="X641">
        <f>IF(ISNUMBER(SEARCH('1Př1'!$A$34,N641)),MAX($M$2:M640)+1,0)</f>
        <v>639</v>
      </c>
      <c r="Y641" s="325" t="s">
        <v>2726</v>
      </c>
      <c r="Z641" t="str">
        <f>IFERROR(VLOOKUP(ROWS($Z$3:Z641),$X$3:$Y$992,2,0),"")</f>
        <v>Velkoobchod s textilem</v>
      </c>
    </row>
    <row r="642" spans="13:26">
      <c r="M642" s="324">
        <f>IF(ISNUMBER(SEARCH(ZAKL_DATA!$B$29,N642)),MAX($M$2:M641)+1,0)</f>
        <v>640</v>
      </c>
      <c r="N642" s="325" t="s">
        <v>2728</v>
      </c>
      <c r="O642" s="340" t="s">
        <v>2729</v>
      </c>
      <c r="Q642" s="327" t="str">
        <f>IFERROR(VLOOKUP(ROWS($Q$3:Q642),$M$3:$N$992,2,0),"")</f>
        <v>Velkoobchod s oděvy a obuví</v>
      </c>
      <c r="R642">
        <f>IF(ISNUMBER(SEARCH('1Př1'!$A$32,N642)),MAX($M$2:M641)+1,0)</f>
        <v>640</v>
      </c>
      <c r="S642" s="325" t="s">
        <v>2728</v>
      </c>
      <c r="T642" t="str">
        <f>IFERROR(VLOOKUP(ROWS($T$3:T642),$R$3:$S$992,2,0),"")</f>
        <v>Velkoobchod s oděvy a obuví</v>
      </c>
      <c r="U642">
        <f>IF(ISNUMBER(SEARCH('1Př1'!$A$33,N642)),MAX($M$2:M641)+1,0)</f>
        <v>640</v>
      </c>
      <c r="V642" s="325" t="s">
        <v>2728</v>
      </c>
      <c r="W642" t="str">
        <f>IFERROR(VLOOKUP(ROWS($W$3:W642),$U$3:$V$992,2,0),"")</f>
        <v>Velkoobchod s oděvy a obuví</v>
      </c>
      <c r="X642">
        <f>IF(ISNUMBER(SEARCH('1Př1'!$A$34,N642)),MAX($M$2:M641)+1,0)</f>
        <v>640</v>
      </c>
      <c r="Y642" s="325" t="s">
        <v>2728</v>
      </c>
      <c r="Z642" t="str">
        <f>IFERROR(VLOOKUP(ROWS($Z$3:Z642),$X$3:$Y$992,2,0),"")</f>
        <v>Velkoobchod s oděvy a obuví</v>
      </c>
    </row>
    <row r="643" spans="13:26">
      <c r="M643" s="324">
        <f>IF(ISNUMBER(SEARCH(ZAKL_DATA!$B$29,N643)),MAX($M$2:M642)+1,0)</f>
        <v>641</v>
      </c>
      <c r="N643" s="325" t="s">
        <v>2730</v>
      </c>
      <c r="O643" s="340" t="s">
        <v>2731</v>
      </c>
      <c r="Q643" s="327" t="str">
        <f>IFERROR(VLOOKUP(ROWS($Q$3:Q643),$M$3:$N$992,2,0),"")</f>
        <v>Velkoobchod s elektrospotřebiči a elektronikou</v>
      </c>
      <c r="R643">
        <f>IF(ISNUMBER(SEARCH('1Př1'!$A$32,N643)),MAX($M$2:M642)+1,0)</f>
        <v>641</v>
      </c>
      <c r="S643" s="325" t="s">
        <v>2730</v>
      </c>
      <c r="T643" t="str">
        <f>IFERROR(VLOOKUP(ROWS($T$3:T643),$R$3:$S$992,2,0),"")</f>
        <v>Velkoobchod s elektrospotřebiči a elektronikou</v>
      </c>
      <c r="U643">
        <f>IF(ISNUMBER(SEARCH('1Př1'!$A$33,N643)),MAX($M$2:M642)+1,0)</f>
        <v>641</v>
      </c>
      <c r="V643" s="325" t="s">
        <v>2730</v>
      </c>
      <c r="W643" t="str">
        <f>IFERROR(VLOOKUP(ROWS($W$3:W643),$U$3:$V$992,2,0),"")</f>
        <v>Velkoobchod s elektrospotřebiči a elektronikou</v>
      </c>
      <c r="X643">
        <f>IF(ISNUMBER(SEARCH('1Př1'!$A$34,N643)),MAX($M$2:M642)+1,0)</f>
        <v>641</v>
      </c>
      <c r="Y643" s="325" t="s">
        <v>2730</v>
      </c>
      <c r="Z643" t="str">
        <f>IFERROR(VLOOKUP(ROWS($Z$3:Z643),$X$3:$Y$992,2,0),"")</f>
        <v>Velkoobchod s elektrospotřebiči a elektronikou</v>
      </c>
    </row>
    <row r="644" spans="13:26">
      <c r="M644" s="324">
        <f>IF(ISNUMBER(SEARCH(ZAKL_DATA!$B$29,N644)),MAX($M$2:M643)+1,0)</f>
        <v>642</v>
      </c>
      <c r="N644" s="325" t="s">
        <v>2732</v>
      </c>
      <c r="O644" s="340" t="s">
        <v>2733</v>
      </c>
      <c r="Q644" s="327" t="str">
        <f>IFERROR(VLOOKUP(ROWS($Q$3:Q644),$M$3:$N$992,2,0),"")</f>
        <v>Velkoobchod s porcelán.,keram.a skleněnými výrobky a čisticími prostř.</v>
      </c>
      <c r="R644">
        <f>IF(ISNUMBER(SEARCH('1Př1'!$A$32,N644)),MAX($M$2:M643)+1,0)</f>
        <v>642</v>
      </c>
      <c r="S644" s="325" t="s">
        <v>2732</v>
      </c>
      <c r="T644" t="str">
        <f>IFERROR(VLOOKUP(ROWS($T$3:T644),$R$3:$S$992,2,0),"")</f>
        <v>Velkoobchod s porcelán.,keram.a skleněnými výrobky a čisticími prostř.</v>
      </c>
      <c r="U644">
        <f>IF(ISNUMBER(SEARCH('1Př1'!$A$33,N644)),MAX($M$2:M643)+1,0)</f>
        <v>642</v>
      </c>
      <c r="V644" s="325" t="s">
        <v>2732</v>
      </c>
      <c r="W644" t="str">
        <f>IFERROR(VLOOKUP(ROWS($W$3:W644),$U$3:$V$992,2,0),"")</f>
        <v>Velkoobchod s porcelán.,keram.a skleněnými výrobky a čisticími prostř.</v>
      </c>
      <c r="X644">
        <f>IF(ISNUMBER(SEARCH('1Př1'!$A$34,N644)),MAX($M$2:M643)+1,0)</f>
        <v>642</v>
      </c>
      <c r="Y644" s="325" t="s">
        <v>2732</v>
      </c>
      <c r="Z644" t="str">
        <f>IFERROR(VLOOKUP(ROWS($Z$3:Z644),$X$3:$Y$992,2,0),"")</f>
        <v>Velkoobchod s porcelán.,keram.a skleněnými výrobky a čisticími prostř.</v>
      </c>
    </row>
    <row r="645" spans="13:26">
      <c r="M645" s="324">
        <f>IF(ISNUMBER(SEARCH(ZAKL_DATA!$B$29,N645)),MAX($M$2:M644)+1,0)</f>
        <v>643</v>
      </c>
      <c r="N645" s="325" t="s">
        <v>2734</v>
      </c>
      <c r="O645" s="340" t="s">
        <v>2735</v>
      </c>
      <c r="Q645" s="327" t="str">
        <f>IFERROR(VLOOKUP(ROWS($Q$3:Q645),$M$3:$N$992,2,0),"")</f>
        <v>Velkoobchod s kosmetickými výrobky</v>
      </c>
      <c r="R645">
        <f>IF(ISNUMBER(SEARCH('1Př1'!$A$32,N645)),MAX($M$2:M644)+1,0)</f>
        <v>643</v>
      </c>
      <c r="S645" s="325" t="s">
        <v>2734</v>
      </c>
      <c r="T645" t="str">
        <f>IFERROR(VLOOKUP(ROWS($T$3:T645),$R$3:$S$992,2,0),"")</f>
        <v>Velkoobchod s kosmetickými výrobky</v>
      </c>
      <c r="U645">
        <f>IF(ISNUMBER(SEARCH('1Př1'!$A$33,N645)),MAX($M$2:M644)+1,0)</f>
        <v>643</v>
      </c>
      <c r="V645" s="325" t="s">
        <v>2734</v>
      </c>
      <c r="W645" t="str">
        <f>IFERROR(VLOOKUP(ROWS($W$3:W645),$U$3:$V$992,2,0),"")</f>
        <v>Velkoobchod s kosmetickými výrobky</v>
      </c>
      <c r="X645">
        <f>IF(ISNUMBER(SEARCH('1Př1'!$A$34,N645)),MAX($M$2:M644)+1,0)</f>
        <v>643</v>
      </c>
      <c r="Y645" s="325" t="s">
        <v>2734</v>
      </c>
      <c r="Z645" t="str">
        <f>IFERROR(VLOOKUP(ROWS($Z$3:Z645),$X$3:$Y$992,2,0),"")</f>
        <v>Velkoobchod s kosmetickými výrobky</v>
      </c>
    </row>
    <row r="646" spans="13:26">
      <c r="M646" s="324">
        <f>IF(ISNUMBER(SEARCH(ZAKL_DATA!$B$29,N646)),MAX($M$2:M645)+1,0)</f>
        <v>644</v>
      </c>
      <c r="N646" s="325" t="s">
        <v>2736</v>
      </c>
      <c r="O646" s="340" t="s">
        <v>2737</v>
      </c>
      <c r="Q646" s="327" t="str">
        <f>IFERROR(VLOOKUP(ROWS($Q$3:Q646),$M$3:$N$992,2,0),"")</f>
        <v>Velkoobchod s farmaceutickými výrobky</v>
      </c>
      <c r="R646">
        <f>IF(ISNUMBER(SEARCH('1Př1'!$A$32,N646)),MAX($M$2:M645)+1,0)</f>
        <v>644</v>
      </c>
      <c r="S646" s="325" t="s">
        <v>2736</v>
      </c>
      <c r="T646" t="str">
        <f>IFERROR(VLOOKUP(ROWS($T$3:T646),$R$3:$S$992,2,0),"")</f>
        <v>Velkoobchod s farmaceutickými výrobky</v>
      </c>
      <c r="U646">
        <f>IF(ISNUMBER(SEARCH('1Př1'!$A$33,N646)),MAX($M$2:M645)+1,0)</f>
        <v>644</v>
      </c>
      <c r="V646" s="325" t="s">
        <v>2736</v>
      </c>
      <c r="W646" t="str">
        <f>IFERROR(VLOOKUP(ROWS($W$3:W646),$U$3:$V$992,2,0),"")</f>
        <v>Velkoobchod s farmaceutickými výrobky</v>
      </c>
      <c r="X646">
        <f>IF(ISNUMBER(SEARCH('1Př1'!$A$34,N646)),MAX($M$2:M645)+1,0)</f>
        <v>644</v>
      </c>
      <c r="Y646" s="325" t="s">
        <v>2736</v>
      </c>
      <c r="Z646" t="str">
        <f>IFERROR(VLOOKUP(ROWS($Z$3:Z646),$X$3:$Y$992,2,0),"")</f>
        <v>Velkoobchod s farmaceutickými výrobky</v>
      </c>
    </row>
    <row r="647" spans="13:26">
      <c r="M647" s="324">
        <f>IF(ISNUMBER(SEARCH(ZAKL_DATA!$B$29,N647)),MAX($M$2:M646)+1,0)</f>
        <v>645</v>
      </c>
      <c r="N647" s="325" t="s">
        <v>2738</v>
      </c>
      <c r="O647" s="340" t="s">
        <v>2739</v>
      </c>
      <c r="Q647" s="327" t="str">
        <f>IFERROR(VLOOKUP(ROWS($Q$3:Q647),$M$3:$N$992,2,0),"")</f>
        <v>Velkoobchod s nábytkem, koberci a svítidly</v>
      </c>
      <c r="R647">
        <f>IF(ISNUMBER(SEARCH('1Př1'!$A$32,N647)),MAX($M$2:M646)+1,0)</f>
        <v>645</v>
      </c>
      <c r="S647" s="325" t="s">
        <v>2738</v>
      </c>
      <c r="T647" t="str">
        <f>IFERROR(VLOOKUP(ROWS($T$3:T647),$R$3:$S$992,2,0),"")</f>
        <v>Velkoobchod s nábytkem, koberci a svítidly</v>
      </c>
      <c r="U647">
        <f>IF(ISNUMBER(SEARCH('1Př1'!$A$33,N647)),MAX($M$2:M646)+1,0)</f>
        <v>645</v>
      </c>
      <c r="V647" s="325" t="s">
        <v>2738</v>
      </c>
      <c r="W647" t="str">
        <f>IFERROR(VLOOKUP(ROWS($W$3:W647),$U$3:$V$992,2,0),"")</f>
        <v>Velkoobchod s nábytkem, koberci a svítidly</v>
      </c>
      <c r="X647">
        <f>IF(ISNUMBER(SEARCH('1Př1'!$A$34,N647)),MAX($M$2:M646)+1,0)</f>
        <v>645</v>
      </c>
      <c r="Y647" s="325" t="s">
        <v>2738</v>
      </c>
      <c r="Z647" t="str">
        <f>IFERROR(VLOOKUP(ROWS($Z$3:Z647),$X$3:$Y$992,2,0),"")</f>
        <v>Velkoobchod s nábytkem, koberci a svítidly</v>
      </c>
    </row>
    <row r="648" spans="13:26">
      <c r="M648" s="324">
        <f>IF(ISNUMBER(SEARCH(ZAKL_DATA!$B$29,N648)),MAX($M$2:M647)+1,0)</f>
        <v>646</v>
      </c>
      <c r="N648" s="325" t="s">
        <v>2740</v>
      </c>
      <c r="O648" s="340" t="s">
        <v>2741</v>
      </c>
      <c r="Q648" s="327" t="str">
        <f>IFERROR(VLOOKUP(ROWS($Q$3:Q648),$M$3:$N$992,2,0),"")</f>
        <v>Velkoobchod s hodinami, hodinkami a klenoty</v>
      </c>
      <c r="R648">
        <f>IF(ISNUMBER(SEARCH('1Př1'!$A$32,N648)),MAX($M$2:M647)+1,0)</f>
        <v>646</v>
      </c>
      <c r="S648" s="325" t="s">
        <v>2740</v>
      </c>
      <c r="T648" t="str">
        <f>IFERROR(VLOOKUP(ROWS($T$3:T648),$R$3:$S$992,2,0),"")</f>
        <v>Velkoobchod s hodinami, hodinkami a klenoty</v>
      </c>
      <c r="U648">
        <f>IF(ISNUMBER(SEARCH('1Př1'!$A$33,N648)),MAX($M$2:M647)+1,0)</f>
        <v>646</v>
      </c>
      <c r="V648" s="325" t="s">
        <v>2740</v>
      </c>
      <c r="W648" t="str">
        <f>IFERROR(VLOOKUP(ROWS($W$3:W648),$U$3:$V$992,2,0),"")</f>
        <v>Velkoobchod s hodinami, hodinkami a klenoty</v>
      </c>
      <c r="X648">
        <f>IF(ISNUMBER(SEARCH('1Př1'!$A$34,N648)),MAX($M$2:M647)+1,0)</f>
        <v>646</v>
      </c>
      <c r="Y648" s="325" t="s">
        <v>2740</v>
      </c>
      <c r="Z648" t="str">
        <f>IFERROR(VLOOKUP(ROWS($Z$3:Z648),$X$3:$Y$992,2,0),"")</f>
        <v>Velkoobchod s hodinami, hodinkami a klenoty</v>
      </c>
    </row>
    <row r="649" spans="13:26">
      <c r="M649" s="324">
        <f>IF(ISNUMBER(SEARCH(ZAKL_DATA!$B$29,N649)),MAX($M$2:M648)+1,0)</f>
        <v>647</v>
      </c>
      <c r="N649" s="325" t="s">
        <v>2742</v>
      </c>
      <c r="O649" s="340" t="s">
        <v>2743</v>
      </c>
      <c r="Q649" s="327" t="str">
        <f>IFERROR(VLOOKUP(ROWS($Q$3:Q649),$M$3:$N$992,2,0),"")</f>
        <v>Velkoobchod s ostatními výrobky převážně pro domácnost</v>
      </c>
      <c r="R649">
        <f>IF(ISNUMBER(SEARCH('1Př1'!$A$32,N649)),MAX($M$2:M648)+1,0)</f>
        <v>647</v>
      </c>
      <c r="S649" s="325" t="s">
        <v>2742</v>
      </c>
      <c r="T649" t="str">
        <f>IFERROR(VLOOKUP(ROWS($T$3:T649),$R$3:$S$992,2,0),"")</f>
        <v>Velkoobchod s ostatními výrobky převážně pro domácnost</v>
      </c>
      <c r="U649">
        <f>IF(ISNUMBER(SEARCH('1Př1'!$A$33,N649)),MAX($M$2:M648)+1,0)</f>
        <v>647</v>
      </c>
      <c r="V649" s="325" t="s">
        <v>2742</v>
      </c>
      <c r="W649" t="str">
        <f>IFERROR(VLOOKUP(ROWS($W$3:W649),$U$3:$V$992,2,0),"")</f>
        <v>Velkoobchod s ostatními výrobky převážně pro domácnost</v>
      </c>
      <c r="X649">
        <f>IF(ISNUMBER(SEARCH('1Př1'!$A$34,N649)),MAX($M$2:M648)+1,0)</f>
        <v>647</v>
      </c>
      <c r="Y649" s="325" t="s">
        <v>2742</v>
      </c>
      <c r="Z649" t="str">
        <f>IFERROR(VLOOKUP(ROWS($Z$3:Z649),$X$3:$Y$992,2,0),"")</f>
        <v>Velkoobchod s ostatními výrobky převážně pro domácnost</v>
      </c>
    </row>
    <row r="650" spans="13:26">
      <c r="M650" s="324">
        <f>IF(ISNUMBER(SEARCH(ZAKL_DATA!$B$29,N650)),MAX($M$2:M649)+1,0)</f>
        <v>648</v>
      </c>
      <c r="N650" s="325" t="s">
        <v>2744</v>
      </c>
      <c r="O650" s="340" t="s">
        <v>2745</v>
      </c>
      <c r="Q650" s="327" t="str">
        <f>IFERROR(VLOOKUP(ROWS($Q$3:Q650),$M$3:$N$992,2,0),"")</f>
        <v>Velkoobchod s počítači, počítačovým periferním zařízením a softwarem</v>
      </c>
      <c r="R650">
        <f>IF(ISNUMBER(SEARCH('1Př1'!$A$32,N650)),MAX($M$2:M649)+1,0)</f>
        <v>648</v>
      </c>
      <c r="S650" s="325" t="s">
        <v>2744</v>
      </c>
      <c r="T650" t="str">
        <f>IFERROR(VLOOKUP(ROWS($T$3:T650),$R$3:$S$992,2,0),"")</f>
        <v>Velkoobchod s počítači, počítačovým periferním zařízením a softwarem</v>
      </c>
      <c r="U650">
        <f>IF(ISNUMBER(SEARCH('1Př1'!$A$33,N650)),MAX($M$2:M649)+1,0)</f>
        <v>648</v>
      </c>
      <c r="V650" s="325" t="s">
        <v>2744</v>
      </c>
      <c r="W650" t="str">
        <f>IFERROR(VLOOKUP(ROWS($W$3:W650),$U$3:$V$992,2,0),"")</f>
        <v>Velkoobchod s počítači, počítačovým periferním zařízením a softwarem</v>
      </c>
      <c r="X650">
        <f>IF(ISNUMBER(SEARCH('1Př1'!$A$34,N650)),MAX($M$2:M649)+1,0)</f>
        <v>648</v>
      </c>
      <c r="Y650" s="325" t="s">
        <v>2744</v>
      </c>
      <c r="Z650" t="str">
        <f>IFERROR(VLOOKUP(ROWS($Z$3:Z650),$X$3:$Y$992,2,0),"")</f>
        <v>Velkoobchod s počítači, počítačovým periferním zařízením a softwarem</v>
      </c>
    </row>
    <row r="651" spans="13:26">
      <c r="M651" s="324">
        <f>IF(ISNUMBER(SEARCH(ZAKL_DATA!$B$29,N651)),MAX($M$2:M650)+1,0)</f>
        <v>649</v>
      </c>
      <c r="N651" s="325" t="s">
        <v>2746</v>
      </c>
      <c r="O651" s="340" t="s">
        <v>2747</v>
      </c>
      <c r="Q651" s="327" t="str">
        <f>IFERROR(VLOOKUP(ROWS($Q$3:Q651),$M$3:$N$992,2,0),"")</f>
        <v>Velkoobchod s elektronickým a telekomunikačním zařízením a jeho díly</v>
      </c>
      <c r="R651">
        <f>IF(ISNUMBER(SEARCH('1Př1'!$A$32,N651)),MAX($M$2:M650)+1,0)</f>
        <v>649</v>
      </c>
      <c r="S651" s="325" t="s">
        <v>2746</v>
      </c>
      <c r="T651" t="str">
        <f>IFERROR(VLOOKUP(ROWS($T$3:T651),$R$3:$S$992,2,0),"")</f>
        <v>Velkoobchod s elektronickým a telekomunikačním zařízením a jeho díly</v>
      </c>
      <c r="U651">
        <f>IF(ISNUMBER(SEARCH('1Př1'!$A$33,N651)),MAX($M$2:M650)+1,0)</f>
        <v>649</v>
      </c>
      <c r="V651" s="325" t="s">
        <v>2746</v>
      </c>
      <c r="W651" t="str">
        <f>IFERROR(VLOOKUP(ROWS($W$3:W651),$U$3:$V$992,2,0),"")</f>
        <v>Velkoobchod s elektronickým a telekomunikačním zařízením a jeho díly</v>
      </c>
      <c r="X651">
        <f>IF(ISNUMBER(SEARCH('1Př1'!$A$34,N651)),MAX($M$2:M650)+1,0)</f>
        <v>649</v>
      </c>
      <c r="Y651" s="325" t="s">
        <v>2746</v>
      </c>
      <c r="Z651" t="str">
        <f>IFERROR(VLOOKUP(ROWS($Z$3:Z651),$X$3:$Y$992,2,0),"")</f>
        <v>Velkoobchod s elektronickým a telekomunikačním zařízením a jeho díly</v>
      </c>
    </row>
    <row r="652" spans="13:26">
      <c r="M652" s="324">
        <f>IF(ISNUMBER(SEARCH(ZAKL_DATA!$B$29,N652)),MAX($M$2:M651)+1,0)</f>
        <v>650</v>
      </c>
      <c r="N652" s="325" t="s">
        <v>2748</v>
      </c>
      <c r="O652" s="340" t="s">
        <v>2749</v>
      </c>
      <c r="Q652" s="327" t="str">
        <f>IFERROR(VLOOKUP(ROWS($Q$3:Q652),$M$3:$N$992,2,0),"")</f>
        <v>Velkoobchod se zemědělskými stroji, strojním zařízením a příslušenstvím</v>
      </c>
      <c r="R652">
        <f>IF(ISNUMBER(SEARCH('1Př1'!$A$32,N652)),MAX($M$2:M651)+1,0)</f>
        <v>650</v>
      </c>
      <c r="S652" s="325" t="s">
        <v>2748</v>
      </c>
      <c r="T652" t="str">
        <f>IFERROR(VLOOKUP(ROWS($T$3:T652),$R$3:$S$992,2,0),"")</f>
        <v>Velkoobchod se zemědělskými stroji, strojním zařízením a příslušenstvím</v>
      </c>
      <c r="U652">
        <f>IF(ISNUMBER(SEARCH('1Př1'!$A$33,N652)),MAX($M$2:M651)+1,0)</f>
        <v>650</v>
      </c>
      <c r="V652" s="325" t="s">
        <v>2748</v>
      </c>
      <c r="W652" t="str">
        <f>IFERROR(VLOOKUP(ROWS($W$3:W652),$U$3:$V$992,2,0),"")</f>
        <v>Velkoobchod se zemědělskými stroji, strojním zařízením a příslušenstvím</v>
      </c>
      <c r="X652">
        <f>IF(ISNUMBER(SEARCH('1Př1'!$A$34,N652)),MAX($M$2:M651)+1,0)</f>
        <v>650</v>
      </c>
      <c r="Y652" s="325" t="s">
        <v>2748</v>
      </c>
      <c r="Z652" t="str">
        <f>IFERROR(VLOOKUP(ROWS($Z$3:Z652),$X$3:$Y$992,2,0),"")</f>
        <v>Velkoobchod se zemědělskými stroji, strojním zařízením a příslušenstvím</v>
      </c>
    </row>
    <row r="653" spans="13:26">
      <c r="M653" s="324">
        <f>IF(ISNUMBER(SEARCH(ZAKL_DATA!$B$29,N653)),MAX($M$2:M652)+1,0)</f>
        <v>651</v>
      </c>
      <c r="N653" s="325" t="s">
        <v>2750</v>
      </c>
      <c r="O653" s="340" t="s">
        <v>2751</v>
      </c>
      <c r="Q653" s="327" t="str">
        <f>IFERROR(VLOOKUP(ROWS($Q$3:Q653),$M$3:$N$992,2,0),"")</f>
        <v>Velkoobchod s obráběcími stroji</v>
      </c>
      <c r="R653">
        <f>IF(ISNUMBER(SEARCH('1Př1'!$A$32,N653)),MAX($M$2:M652)+1,0)</f>
        <v>651</v>
      </c>
      <c r="S653" s="325" t="s">
        <v>2750</v>
      </c>
      <c r="T653" t="str">
        <f>IFERROR(VLOOKUP(ROWS($T$3:T653),$R$3:$S$992,2,0),"")</f>
        <v>Velkoobchod s obráběcími stroji</v>
      </c>
      <c r="U653">
        <f>IF(ISNUMBER(SEARCH('1Př1'!$A$33,N653)),MAX($M$2:M652)+1,0)</f>
        <v>651</v>
      </c>
      <c r="V653" s="325" t="s">
        <v>2750</v>
      </c>
      <c r="W653" t="str">
        <f>IFERROR(VLOOKUP(ROWS($W$3:W653),$U$3:$V$992,2,0),"")</f>
        <v>Velkoobchod s obráběcími stroji</v>
      </c>
      <c r="X653">
        <f>IF(ISNUMBER(SEARCH('1Př1'!$A$34,N653)),MAX($M$2:M652)+1,0)</f>
        <v>651</v>
      </c>
      <c r="Y653" s="325" t="s">
        <v>2750</v>
      </c>
      <c r="Z653" t="str">
        <f>IFERROR(VLOOKUP(ROWS($Z$3:Z653),$X$3:$Y$992,2,0),"")</f>
        <v>Velkoobchod s obráběcími stroji</v>
      </c>
    </row>
    <row r="654" spans="13:26">
      <c r="M654" s="324">
        <f>IF(ISNUMBER(SEARCH(ZAKL_DATA!$B$29,N654)),MAX($M$2:M653)+1,0)</f>
        <v>652</v>
      </c>
      <c r="N654" s="325" t="s">
        <v>2752</v>
      </c>
      <c r="O654" s="340" t="s">
        <v>2753</v>
      </c>
      <c r="Q654" s="327" t="str">
        <f>IFERROR(VLOOKUP(ROWS($Q$3:Q654),$M$3:$N$992,2,0),"")</f>
        <v>Velkoobchod s těžebními a stavebními stroji a zařízením</v>
      </c>
      <c r="R654">
        <f>IF(ISNUMBER(SEARCH('1Př1'!$A$32,N654)),MAX($M$2:M653)+1,0)</f>
        <v>652</v>
      </c>
      <c r="S654" s="325" t="s">
        <v>2752</v>
      </c>
      <c r="T654" t="str">
        <f>IFERROR(VLOOKUP(ROWS($T$3:T654),$R$3:$S$992,2,0),"")</f>
        <v>Velkoobchod s těžebními a stavebními stroji a zařízením</v>
      </c>
      <c r="U654">
        <f>IF(ISNUMBER(SEARCH('1Př1'!$A$33,N654)),MAX($M$2:M653)+1,0)</f>
        <v>652</v>
      </c>
      <c r="V654" s="325" t="s">
        <v>2752</v>
      </c>
      <c r="W654" t="str">
        <f>IFERROR(VLOOKUP(ROWS($W$3:W654),$U$3:$V$992,2,0),"")</f>
        <v>Velkoobchod s těžebními a stavebními stroji a zařízením</v>
      </c>
      <c r="X654">
        <f>IF(ISNUMBER(SEARCH('1Př1'!$A$34,N654)),MAX($M$2:M653)+1,0)</f>
        <v>652</v>
      </c>
      <c r="Y654" s="325" t="s">
        <v>2752</v>
      </c>
      <c r="Z654" t="str">
        <f>IFERROR(VLOOKUP(ROWS($Z$3:Z654),$X$3:$Y$992,2,0),"")</f>
        <v>Velkoobchod s těžebními a stavebními stroji a zařízením</v>
      </c>
    </row>
    <row r="655" spans="13:26">
      <c r="M655" s="324">
        <f>IF(ISNUMBER(SEARCH(ZAKL_DATA!$B$29,N655)),MAX($M$2:M654)+1,0)</f>
        <v>653</v>
      </c>
      <c r="N655" s="325" t="s">
        <v>2754</v>
      </c>
      <c r="O655" s="340" t="s">
        <v>2755</v>
      </c>
      <c r="Q655" s="327" t="str">
        <f>IFERROR(VLOOKUP(ROWS($Q$3:Q655),$M$3:$N$992,2,0),"")</f>
        <v>Velkoobchod se strojním zařízením pro text.průmysl,šicími a plet.stroji</v>
      </c>
      <c r="R655">
        <f>IF(ISNUMBER(SEARCH('1Př1'!$A$32,N655)),MAX($M$2:M654)+1,0)</f>
        <v>653</v>
      </c>
      <c r="S655" s="325" t="s">
        <v>2754</v>
      </c>
      <c r="T655" t="str">
        <f>IFERROR(VLOOKUP(ROWS($T$3:T655),$R$3:$S$992,2,0),"")</f>
        <v>Velkoobchod se strojním zařízením pro text.průmysl,šicími a plet.stroji</v>
      </c>
      <c r="U655">
        <f>IF(ISNUMBER(SEARCH('1Př1'!$A$33,N655)),MAX($M$2:M654)+1,0)</f>
        <v>653</v>
      </c>
      <c r="V655" s="325" t="s">
        <v>2754</v>
      </c>
      <c r="W655" t="str">
        <f>IFERROR(VLOOKUP(ROWS($W$3:W655),$U$3:$V$992,2,0),"")</f>
        <v>Velkoobchod se strojním zařízením pro text.průmysl,šicími a plet.stroji</v>
      </c>
      <c r="X655">
        <f>IF(ISNUMBER(SEARCH('1Př1'!$A$34,N655)),MAX($M$2:M654)+1,0)</f>
        <v>653</v>
      </c>
      <c r="Y655" s="325" t="s">
        <v>2754</v>
      </c>
      <c r="Z655" t="str">
        <f>IFERROR(VLOOKUP(ROWS($Z$3:Z655),$X$3:$Y$992,2,0),"")</f>
        <v>Velkoobchod se strojním zařízením pro text.průmysl,šicími a plet.stroji</v>
      </c>
    </row>
    <row r="656" spans="13:26">
      <c r="M656" s="324">
        <f>IF(ISNUMBER(SEARCH(ZAKL_DATA!$B$29,N656)),MAX($M$2:M655)+1,0)</f>
        <v>654</v>
      </c>
      <c r="N656" s="325" t="s">
        <v>2756</v>
      </c>
      <c r="O656" s="340" t="s">
        <v>2757</v>
      </c>
      <c r="Q656" s="327" t="str">
        <f>IFERROR(VLOOKUP(ROWS($Q$3:Q656),$M$3:$N$992,2,0),"")</f>
        <v>Velkoobchod s kancelářským nábytkem</v>
      </c>
      <c r="R656">
        <f>IF(ISNUMBER(SEARCH('1Př1'!$A$32,N656)),MAX($M$2:M655)+1,0)</f>
        <v>654</v>
      </c>
      <c r="S656" s="325" t="s">
        <v>2756</v>
      </c>
      <c r="T656" t="str">
        <f>IFERROR(VLOOKUP(ROWS($T$3:T656),$R$3:$S$992,2,0),"")</f>
        <v>Velkoobchod s kancelářským nábytkem</v>
      </c>
      <c r="U656">
        <f>IF(ISNUMBER(SEARCH('1Př1'!$A$33,N656)),MAX($M$2:M655)+1,0)</f>
        <v>654</v>
      </c>
      <c r="V656" s="325" t="s">
        <v>2756</v>
      </c>
      <c r="W656" t="str">
        <f>IFERROR(VLOOKUP(ROWS($W$3:W656),$U$3:$V$992,2,0),"")</f>
        <v>Velkoobchod s kancelářským nábytkem</v>
      </c>
      <c r="X656">
        <f>IF(ISNUMBER(SEARCH('1Př1'!$A$34,N656)),MAX($M$2:M655)+1,0)</f>
        <v>654</v>
      </c>
      <c r="Y656" s="325" t="s">
        <v>2756</v>
      </c>
      <c r="Z656" t="str">
        <f>IFERROR(VLOOKUP(ROWS($Z$3:Z656),$X$3:$Y$992,2,0),"")</f>
        <v>Velkoobchod s kancelářským nábytkem</v>
      </c>
    </row>
    <row r="657" spans="13:26">
      <c r="M657" s="324">
        <f>IF(ISNUMBER(SEARCH(ZAKL_DATA!$B$29,N657)),MAX($M$2:M656)+1,0)</f>
        <v>655</v>
      </c>
      <c r="N657" s="325" t="s">
        <v>2758</v>
      </c>
      <c r="O657" s="340" t="s">
        <v>2759</v>
      </c>
      <c r="Q657" s="327" t="str">
        <f>IFERROR(VLOOKUP(ROWS($Q$3:Q657),$M$3:$N$992,2,0),"")</f>
        <v>Velkoobchod s ostatními kancelářskými stroji a zařízením</v>
      </c>
      <c r="R657">
        <f>IF(ISNUMBER(SEARCH('1Př1'!$A$32,N657)),MAX($M$2:M656)+1,0)</f>
        <v>655</v>
      </c>
      <c r="S657" s="325" t="s">
        <v>2758</v>
      </c>
      <c r="T657" t="str">
        <f>IFERROR(VLOOKUP(ROWS($T$3:T657),$R$3:$S$992,2,0),"")</f>
        <v>Velkoobchod s ostatními kancelářskými stroji a zařízením</v>
      </c>
      <c r="U657">
        <f>IF(ISNUMBER(SEARCH('1Př1'!$A$33,N657)),MAX($M$2:M656)+1,0)</f>
        <v>655</v>
      </c>
      <c r="V657" s="325" t="s">
        <v>2758</v>
      </c>
      <c r="W657" t="str">
        <f>IFERROR(VLOOKUP(ROWS($W$3:W657),$U$3:$V$992,2,0),"")</f>
        <v>Velkoobchod s ostatními kancelářskými stroji a zařízením</v>
      </c>
      <c r="X657">
        <f>IF(ISNUMBER(SEARCH('1Př1'!$A$34,N657)),MAX($M$2:M656)+1,0)</f>
        <v>655</v>
      </c>
      <c r="Y657" s="325" t="s">
        <v>2758</v>
      </c>
      <c r="Z657" t="str">
        <f>IFERROR(VLOOKUP(ROWS($Z$3:Z657),$X$3:$Y$992,2,0),"")</f>
        <v>Velkoobchod s ostatními kancelářskými stroji a zařízením</v>
      </c>
    </row>
    <row r="658" spans="13:26">
      <c r="M658" s="324">
        <f>IF(ISNUMBER(SEARCH(ZAKL_DATA!$B$29,N658)),MAX($M$2:M657)+1,0)</f>
        <v>656</v>
      </c>
      <c r="N658" s="325" t="s">
        <v>2760</v>
      </c>
      <c r="O658" s="340" t="s">
        <v>2761</v>
      </c>
      <c r="Q658" s="327" t="str">
        <f>IFERROR(VLOOKUP(ROWS($Q$3:Q658),$M$3:$N$992,2,0),"")</f>
        <v>Velkoobchod s ostatními stroji a zařízením</v>
      </c>
      <c r="R658">
        <f>IF(ISNUMBER(SEARCH('1Př1'!$A$32,N658)),MAX($M$2:M657)+1,0)</f>
        <v>656</v>
      </c>
      <c r="S658" s="325" t="s">
        <v>2760</v>
      </c>
      <c r="T658" t="str">
        <f>IFERROR(VLOOKUP(ROWS($T$3:T658),$R$3:$S$992,2,0),"")</f>
        <v>Velkoobchod s ostatními stroji a zařízením</v>
      </c>
      <c r="U658">
        <f>IF(ISNUMBER(SEARCH('1Př1'!$A$33,N658)),MAX($M$2:M657)+1,0)</f>
        <v>656</v>
      </c>
      <c r="V658" s="325" t="s">
        <v>2760</v>
      </c>
      <c r="W658" t="str">
        <f>IFERROR(VLOOKUP(ROWS($W$3:W658),$U$3:$V$992,2,0),"")</f>
        <v>Velkoobchod s ostatními stroji a zařízením</v>
      </c>
      <c r="X658">
        <f>IF(ISNUMBER(SEARCH('1Př1'!$A$34,N658)),MAX($M$2:M657)+1,0)</f>
        <v>656</v>
      </c>
      <c r="Y658" s="325" t="s">
        <v>2760</v>
      </c>
      <c r="Z658" t="str">
        <f>IFERROR(VLOOKUP(ROWS($Z$3:Z658),$X$3:$Y$992,2,0),"")</f>
        <v>Velkoobchod s ostatními stroji a zařízením</v>
      </c>
    </row>
    <row r="659" spans="13:26">
      <c r="M659" s="324">
        <f>IF(ISNUMBER(SEARCH(ZAKL_DATA!$B$29,N659)),MAX($M$2:M658)+1,0)</f>
        <v>657</v>
      </c>
      <c r="N659" s="325" t="s">
        <v>2762</v>
      </c>
      <c r="O659" s="340" t="s">
        <v>2763</v>
      </c>
      <c r="Q659" s="327" t="str">
        <f>IFERROR(VLOOKUP(ROWS($Q$3:Q659),$M$3:$N$992,2,0),"")</f>
        <v>Velkoobchod s pevnými, kapalnými a plynnými palivy a příbuznými výrobky</v>
      </c>
      <c r="R659">
        <f>IF(ISNUMBER(SEARCH('1Př1'!$A$32,N659)),MAX($M$2:M658)+1,0)</f>
        <v>657</v>
      </c>
      <c r="S659" s="325" t="s">
        <v>2762</v>
      </c>
      <c r="T659" t="str">
        <f>IFERROR(VLOOKUP(ROWS($T$3:T659),$R$3:$S$992,2,0),"")</f>
        <v>Velkoobchod s pevnými, kapalnými a plynnými palivy a příbuznými výrobky</v>
      </c>
      <c r="U659">
        <f>IF(ISNUMBER(SEARCH('1Př1'!$A$33,N659)),MAX($M$2:M658)+1,0)</f>
        <v>657</v>
      </c>
      <c r="V659" s="325" t="s">
        <v>2762</v>
      </c>
      <c r="W659" t="str">
        <f>IFERROR(VLOOKUP(ROWS($W$3:W659),$U$3:$V$992,2,0),"")</f>
        <v>Velkoobchod s pevnými, kapalnými a plynnými palivy a příbuznými výrobky</v>
      </c>
      <c r="X659">
        <f>IF(ISNUMBER(SEARCH('1Př1'!$A$34,N659)),MAX($M$2:M658)+1,0)</f>
        <v>657</v>
      </c>
      <c r="Y659" s="325" t="s">
        <v>2762</v>
      </c>
      <c r="Z659" t="str">
        <f>IFERROR(VLOOKUP(ROWS($Z$3:Z659),$X$3:$Y$992,2,0),"")</f>
        <v>Velkoobchod s pevnými, kapalnými a plynnými palivy a příbuznými výrobky</v>
      </c>
    </row>
    <row r="660" spans="13:26">
      <c r="M660" s="324">
        <f>IF(ISNUMBER(SEARCH(ZAKL_DATA!$B$29,N660)),MAX($M$2:M659)+1,0)</f>
        <v>658</v>
      </c>
      <c r="N660" s="325" t="s">
        <v>2764</v>
      </c>
      <c r="O660" s="340" t="s">
        <v>2765</v>
      </c>
      <c r="Q660" s="327" t="str">
        <f>IFERROR(VLOOKUP(ROWS($Q$3:Q660),$M$3:$N$992,2,0),"")</f>
        <v>Velkoobchod s rudami, kovy a hutními výrobky</v>
      </c>
      <c r="R660">
        <f>IF(ISNUMBER(SEARCH('1Př1'!$A$32,N660)),MAX($M$2:M659)+1,0)</f>
        <v>658</v>
      </c>
      <c r="S660" s="325" t="s">
        <v>2764</v>
      </c>
      <c r="T660" t="str">
        <f>IFERROR(VLOOKUP(ROWS($T$3:T660),$R$3:$S$992,2,0),"")</f>
        <v>Velkoobchod s rudami, kovy a hutními výrobky</v>
      </c>
      <c r="U660">
        <f>IF(ISNUMBER(SEARCH('1Př1'!$A$33,N660)),MAX($M$2:M659)+1,0)</f>
        <v>658</v>
      </c>
      <c r="V660" s="325" t="s">
        <v>2764</v>
      </c>
      <c r="W660" t="str">
        <f>IFERROR(VLOOKUP(ROWS($W$3:W660),$U$3:$V$992,2,0),"")</f>
        <v>Velkoobchod s rudami, kovy a hutními výrobky</v>
      </c>
      <c r="X660">
        <f>IF(ISNUMBER(SEARCH('1Př1'!$A$34,N660)),MAX($M$2:M659)+1,0)</f>
        <v>658</v>
      </c>
      <c r="Y660" s="325" t="s">
        <v>2764</v>
      </c>
      <c r="Z660" t="str">
        <f>IFERROR(VLOOKUP(ROWS($Z$3:Z660),$X$3:$Y$992,2,0),"")</f>
        <v>Velkoobchod s rudami, kovy a hutními výrobky</v>
      </c>
    </row>
    <row r="661" spans="13:26">
      <c r="M661" s="324">
        <f>IF(ISNUMBER(SEARCH(ZAKL_DATA!$B$29,N661)),MAX($M$2:M660)+1,0)</f>
        <v>659</v>
      </c>
      <c r="N661" s="325" t="s">
        <v>2766</v>
      </c>
      <c r="O661" s="340" t="s">
        <v>2767</v>
      </c>
      <c r="Q661" s="327" t="str">
        <f>IFERROR(VLOOKUP(ROWS($Q$3:Q661),$M$3:$N$992,2,0),"")</f>
        <v>Velkoobchod se dřevem, stavebními materiály a sanitárním vybavením</v>
      </c>
      <c r="R661">
        <f>IF(ISNUMBER(SEARCH('1Př1'!$A$32,N661)),MAX($M$2:M660)+1,0)</f>
        <v>659</v>
      </c>
      <c r="S661" s="325" t="s">
        <v>2766</v>
      </c>
      <c r="T661" t="str">
        <f>IFERROR(VLOOKUP(ROWS($T$3:T661),$R$3:$S$992,2,0),"")</f>
        <v>Velkoobchod se dřevem, stavebními materiály a sanitárním vybavením</v>
      </c>
      <c r="U661">
        <f>IF(ISNUMBER(SEARCH('1Př1'!$A$33,N661)),MAX($M$2:M660)+1,0)</f>
        <v>659</v>
      </c>
      <c r="V661" s="325" t="s">
        <v>2766</v>
      </c>
      <c r="W661" t="str">
        <f>IFERROR(VLOOKUP(ROWS($W$3:W661),$U$3:$V$992,2,0),"")</f>
        <v>Velkoobchod se dřevem, stavebními materiály a sanitárním vybavením</v>
      </c>
      <c r="X661">
        <f>IF(ISNUMBER(SEARCH('1Př1'!$A$34,N661)),MAX($M$2:M660)+1,0)</f>
        <v>659</v>
      </c>
      <c r="Y661" s="325" t="s">
        <v>2766</v>
      </c>
      <c r="Z661" t="str">
        <f>IFERROR(VLOOKUP(ROWS($Z$3:Z661),$X$3:$Y$992,2,0),"")</f>
        <v>Velkoobchod se dřevem, stavebními materiály a sanitárním vybavením</v>
      </c>
    </row>
    <row r="662" spans="13:26">
      <c r="M662" s="324">
        <f>IF(ISNUMBER(SEARCH(ZAKL_DATA!$B$29,N662)),MAX($M$2:M661)+1,0)</f>
        <v>660</v>
      </c>
      <c r="N662" s="325" t="s">
        <v>2768</v>
      </c>
      <c r="O662" s="340" t="s">
        <v>2769</v>
      </c>
      <c r="Q662" s="327" t="str">
        <f>IFERROR(VLOOKUP(ROWS($Q$3:Q662),$M$3:$N$992,2,0),"")</f>
        <v>Velkoobchod s železářským zbožím,instalatér.a topenářskými potřebami</v>
      </c>
      <c r="R662">
        <f>IF(ISNUMBER(SEARCH('1Př1'!$A$32,N662)),MAX($M$2:M661)+1,0)</f>
        <v>660</v>
      </c>
      <c r="S662" s="325" t="s">
        <v>2768</v>
      </c>
      <c r="T662" t="str">
        <f>IFERROR(VLOOKUP(ROWS($T$3:T662),$R$3:$S$992,2,0),"")</f>
        <v>Velkoobchod s železářským zbožím,instalatér.a topenářskými potřebami</v>
      </c>
      <c r="U662">
        <f>IF(ISNUMBER(SEARCH('1Př1'!$A$33,N662)),MAX($M$2:M661)+1,0)</f>
        <v>660</v>
      </c>
      <c r="V662" s="325" t="s">
        <v>2768</v>
      </c>
      <c r="W662" t="str">
        <f>IFERROR(VLOOKUP(ROWS($W$3:W662),$U$3:$V$992,2,0),"")</f>
        <v>Velkoobchod s železářským zbožím,instalatér.a topenářskými potřebami</v>
      </c>
      <c r="X662">
        <f>IF(ISNUMBER(SEARCH('1Př1'!$A$34,N662)),MAX($M$2:M661)+1,0)</f>
        <v>660</v>
      </c>
      <c r="Y662" s="325" t="s">
        <v>2768</v>
      </c>
      <c r="Z662" t="str">
        <f>IFERROR(VLOOKUP(ROWS($Z$3:Z662),$X$3:$Y$992,2,0),"")</f>
        <v>Velkoobchod s železářským zbožím,instalatér.a topenářskými potřebami</v>
      </c>
    </row>
    <row r="663" spans="13:26">
      <c r="M663" s="324">
        <f>IF(ISNUMBER(SEARCH(ZAKL_DATA!$B$29,N663)),MAX($M$2:M662)+1,0)</f>
        <v>661</v>
      </c>
      <c r="N663" s="325" t="s">
        <v>2770</v>
      </c>
      <c r="O663" s="340" t="s">
        <v>2771</v>
      </c>
      <c r="Q663" s="327" t="str">
        <f>IFERROR(VLOOKUP(ROWS($Q$3:Q663),$M$3:$N$992,2,0),"")</f>
        <v>Velkoobchod s chemickými výrobky</v>
      </c>
      <c r="R663">
        <f>IF(ISNUMBER(SEARCH('1Př1'!$A$32,N663)),MAX($M$2:M662)+1,0)</f>
        <v>661</v>
      </c>
      <c r="S663" s="325" t="s">
        <v>2770</v>
      </c>
      <c r="T663" t="str">
        <f>IFERROR(VLOOKUP(ROWS($T$3:T663),$R$3:$S$992,2,0),"")</f>
        <v>Velkoobchod s chemickými výrobky</v>
      </c>
      <c r="U663">
        <f>IF(ISNUMBER(SEARCH('1Př1'!$A$33,N663)),MAX($M$2:M662)+1,0)</f>
        <v>661</v>
      </c>
      <c r="V663" s="325" t="s">
        <v>2770</v>
      </c>
      <c r="W663" t="str">
        <f>IFERROR(VLOOKUP(ROWS($W$3:W663),$U$3:$V$992,2,0),"")</f>
        <v>Velkoobchod s chemickými výrobky</v>
      </c>
      <c r="X663">
        <f>IF(ISNUMBER(SEARCH('1Př1'!$A$34,N663)),MAX($M$2:M662)+1,0)</f>
        <v>661</v>
      </c>
      <c r="Y663" s="325" t="s">
        <v>2770</v>
      </c>
      <c r="Z663" t="str">
        <f>IFERROR(VLOOKUP(ROWS($Z$3:Z663),$X$3:$Y$992,2,0),"")</f>
        <v>Velkoobchod s chemickými výrobky</v>
      </c>
    </row>
    <row r="664" spans="13:26">
      <c r="M664" s="324">
        <f>IF(ISNUMBER(SEARCH(ZAKL_DATA!$B$29,N664)),MAX($M$2:M663)+1,0)</f>
        <v>662</v>
      </c>
      <c r="N664" s="325" t="s">
        <v>2772</v>
      </c>
      <c r="O664" s="340" t="s">
        <v>2773</v>
      </c>
      <c r="Q664" s="327" t="str">
        <f>IFERROR(VLOOKUP(ROWS($Q$3:Q664),$M$3:$N$992,2,0),"")</f>
        <v>Velkoobchod s ostatními meziprodukty</v>
      </c>
      <c r="R664">
        <f>IF(ISNUMBER(SEARCH('1Př1'!$A$32,N664)),MAX($M$2:M663)+1,0)</f>
        <v>662</v>
      </c>
      <c r="S664" s="325" t="s">
        <v>2772</v>
      </c>
      <c r="T664" t="str">
        <f>IFERROR(VLOOKUP(ROWS($T$3:T664),$R$3:$S$992,2,0),"")</f>
        <v>Velkoobchod s ostatními meziprodukty</v>
      </c>
      <c r="U664">
        <f>IF(ISNUMBER(SEARCH('1Př1'!$A$33,N664)),MAX($M$2:M663)+1,0)</f>
        <v>662</v>
      </c>
      <c r="V664" s="325" t="s">
        <v>2772</v>
      </c>
      <c r="W664" t="str">
        <f>IFERROR(VLOOKUP(ROWS($W$3:W664),$U$3:$V$992,2,0),"")</f>
        <v>Velkoobchod s ostatními meziprodukty</v>
      </c>
      <c r="X664">
        <f>IF(ISNUMBER(SEARCH('1Př1'!$A$34,N664)),MAX($M$2:M663)+1,0)</f>
        <v>662</v>
      </c>
      <c r="Y664" s="325" t="s">
        <v>2772</v>
      </c>
      <c r="Z664" t="str">
        <f>IFERROR(VLOOKUP(ROWS($Z$3:Z664),$X$3:$Y$992,2,0),"")</f>
        <v>Velkoobchod s ostatními meziprodukty</v>
      </c>
    </row>
    <row r="665" spans="13:26">
      <c r="M665" s="324">
        <f>IF(ISNUMBER(SEARCH(ZAKL_DATA!$B$29,N665)),MAX($M$2:M664)+1,0)</f>
        <v>663</v>
      </c>
      <c r="N665" s="325" t="s">
        <v>2774</v>
      </c>
      <c r="O665" s="340" t="s">
        <v>2775</v>
      </c>
      <c r="Q665" s="327" t="str">
        <f>IFERROR(VLOOKUP(ROWS($Q$3:Q665),$M$3:$N$992,2,0),"")</f>
        <v>Velkoobchod s odpadem a šrotem</v>
      </c>
      <c r="R665">
        <f>IF(ISNUMBER(SEARCH('1Př1'!$A$32,N665)),MAX($M$2:M664)+1,0)</f>
        <v>663</v>
      </c>
      <c r="S665" s="325" t="s">
        <v>2774</v>
      </c>
      <c r="T665" t="str">
        <f>IFERROR(VLOOKUP(ROWS($T$3:T665),$R$3:$S$992,2,0),"")</f>
        <v>Velkoobchod s odpadem a šrotem</v>
      </c>
      <c r="U665">
        <f>IF(ISNUMBER(SEARCH('1Př1'!$A$33,N665)),MAX($M$2:M664)+1,0)</f>
        <v>663</v>
      </c>
      <c r="V665" s="325" t="s">
        <v>2774</v>
      </c>
      <c r="W665" t="str">
        <f>IFERROR(VLOOKUP(ROWS($W$3:W665),$U$3:$V$992,2,0),"")</f>
        <v>Velkoobchod s odpadem a šrotem</v>
      </c>
      <c r="X665">
        <f>IF(ISNUMBER(SEARCH('1Př1'!$A$34,N665)),MAX($M$2:M664)+1,0)</f>
        <v>663</v>
      </c>
      <c r="Y665" s="325" t="s">
        <v>2774</v>
      </c>
      <c r="Z665" t="str">
        <f>IFERROR(VLOOKUP(ROWS($Z$3:Z665),$X$3:$Y$992,2,0),"")</f>
        <v>Velkoobchod s odpadem a šrotem</v>
      </c>
    </row>
    <row r="666" spans="13:26">
      <c r="M666" s="324">
        <f>IF(ISNUMBER(SEARCH(ZAKL_DATA!$B$29,N666)),MAX($M$2:M665)+1,0)</f>
        <v>664</v>
      </c>
      <c r="N666" s="325" t="s">
        <v>2776</v>
      </c>
      <c r="O666" s="340" t="s">
        <v>2777</v>
      </c>
      <c r="Q666" s="327" t="str">
        <f>IFERROR(VLOOKUP(ROWS($Q$3:Q666),$M$3:$N$992,2,0),"")</f>
        <v>Maloobchod s převahou potravin,nápojů a tabák.výrobků v nespecializ.prod.</v>
      </c>
      <c r="R666">
        <f>IF(ISNUMBER(SEARCH('1Př1'!$A$32,N666)),MAX($M$2:M665)+1,0)</f>
        <v>664</v>
      </c>
      <c r="S666" s="325" t="s">
        <v>2776</v>
      </c>
      <c r="T666" t="str">
        <f>IFERROR(VLOOKUP(ROWS($T$3:T666),$R$3:$S$992,2,0),"")</f>
        <v>Maloobchod s převahou potravin,nápojů a tabák.výrobků v nespecializ.prod.</v>
      </c>
      <c r="U666">
        <f>IF(ISNUMBER(SEARCH('1Př1'!$A$33,N666)),MAX($M$2:M665)+1,0)</f>
        <v>664</v>
      </c>
      <c r="V666" s="325" t="s">
        <v>2776</v>
      </c>
      <c r="W666" t="str">
        <f>IFERROR(VLOOKUP(ROWS($W$3:W666),$U$3:$V$992,2,0),"")</f>
        <v>Maloobchod s převahou potravin,nápojů a tabák.výrobků v nespecializ.prod.</v>
      </c>
      <c r="X666">
        <f>IF(ISNUMBER(SEARCH('1Př1'!$A$34,N666)),MAX($M$2:M665)+1,0)</f>
        <v>664</v>
      </c>
      <c r="Y666" s="325" t="s">
        <v>2776</v>
      </c>
      <c r="Z666" t="str">
        <f>IFERROR(VLOOKUP(ROWS($Z$3:Z666),$X$3:$Y$992,2,0),"")</f>
        <v>Maloobchod s převahou potravin,nápojů a tabák.výrobků v nespecializ.prod.</v>
      </c>
    </row>
    <row r="667" spans="13:26">
      <c r="M667" s="324">
        <f>IF(ISNUMBER(SEARCH(ZAKL_DATA!$B$29,N667)),MAX($M$2:M666)+1,0)</f>
        <v>665</v>
      </c>
      <c r="N667" s="325" t="s">
        <v>2778</v>
      </c>
      <c r="O667" s="340" t="s">
        <v>2779</v>
      </c>
      <c r="Q667" s="327" t="str">
        <f>IFERROR(VLOOKUP(ROWS($Q$3:Q667),$M$3:$N$992,2,0),"")</f>
        <v>Ostatní maloobchod v nespecializovaných prodejnách</v>
      </c>
      <c r="R667">
        <f>IF(ISNUMBER(SEARCH('1Př1'!$A$32,N667)),MAX($M$2:M666)+1,0)</f>
        <v>665</v>
      </c>
      <c r="S667" s="325" t="s">
        <v>2778</v>
      </c>
      <c r="T667" t="str">
        <f>IFERROR(VLOOKUP(ROWS($T$3:T667),$R$3:$S$992,2,0),"")</f>
        <v>Ostatní maloobchod v nespecializovaných prodejnách</v>
      </c>
      <c r="U667">
        <f>IF(ISNUMBER(SEARCH('1Př1'!$A$33,N667)),MAX($M$2:M666)+1,0)</f>
        <v>665</v>
      </c>
      <c r="V667" s="325" t="s">
        <v>2778</v>
      </c>
      <c r="W667" t="str">
        <f>IFERROR(VLOOKUP(ROWS($W$3:W667),$U$3:$V$992,2,0),"")</f>
        <v>Ostatní maloobchod v nespecializovaných prodejnách</v>
      </c>
      <c r="X667">
        <f>IF(ISNUMBER(SEARCH('1Př1'!$A$34,N667)),MAX($M$2:M666)+1,0)</f>
        <v>665</v>
      </c>
      <c r="Y667" s="325" t="s">
        <v>2778</v>
      </c>
      <c r="Z667" t="str">
        <f>IFERROR(VLOOKUP(ROWS($Z$3:Z667),$X$3:$Y$992,2,0),"")</f>
        <v>Ostatní maloobchod v nespecializovaných prodejnách</v>
      </c>
    </row>
    <row r="668" spans="13:26">
      <c r="M668" s="324">
        <f>IF(ISNUMBER(SEARCH(ZAKL_DATA!$B$29,N668)),MAX($M$2:M667)+1,0)</f>
        <v>666</v>
      </c>
      <c r="N668" s="325" t="s">
        <v>2780</v>
      </c>
      <c r="O668" s="340" t="s">
        <v>2781</v>
      </c>
      <c r="Q668" s="327" t="str">
        <f>IFERROR(VLOOKUP(ROWS($Q$3:Q668),$M$3:$N$992,2,0),"")</f>
        <v>Maloobchod s ovocem a zeleninou</v>
      </c>
      <c r="R668">
        <f>IF(ISNUMBER(SEARCH('1Př1'!$A$32,N668)),MAX($M$2:M667)+1,0)</f>
        <v>666</v>
      </c>
      <c r="S668" s="325" t="s">
        <v>2780</v>
      </c>
      <c r="T668" t="str">
        <f>IFERROR(VLOOKUP(ROWS($T$3:T668),$R$3:$S$992,2,0),"")</f>
        <v>Maloobchod s ovocem a zeleninou</v>
      </c>
      <c r="U668">
        <f>IF(ISNUMBER(SEARCH('1Př1'!$A$33,N668)),MAX($M$2:M667)+1,0)</f>
        <v>666</v>
      </c>
      <c r="V668" s="325" t="s">
        <v>2780</v>
      </c>
      <c r="W668" t="str">
        <f>IFERROR(VLOOKUP(ROWS($W$3:W668),$U$3:$V$992,2,0),"")</f>
        <v>Maloobchod s ovocem a zeleninou</v>
      </c>
      <c r="X668">
        <f>IF(ISNUMBER(SEARCH('1Př1'!$A$34,N668)),MAX($M$2:M667)+1,0)</f>
        <v>666</v>
      </c>
      <c r="Y668" s="325" t="s">
        <v>2780</v>
      </c>
      <c r="Z668" t="str">
        <f>IFERROR(VLOOKUP(ROWS($Z$3:Z668),$X$3:$Y$992,2,0),"")</f>
        <v>Maloobchod s ovocem a zeleninou</v>
      </c>
    </row>
    <row r="669" spans="13:26">
      <c r="M669" s="324">
        <f>IF(ISNUMBER(SEARCH(ZAKL_DATA!$B$29,N669)),MAX($M$2:M668)+1,0)</f>
        <v>667</v>
      </c>
      <c r="N669" s="325" t="s">
        <v>2782</v>
      </c>
      <c r="O669" s="340" t="s">
        <v>2783</v>
      </c>
      <c r="Q669" s="327" t="str">
        <f>IFERROR(VLOOKUP(ROWS($Q$3:Q669),$M$3:$N$992,2,0),"")</f>
        <v>Maloobchod s masem a masnými výrobky</v>
      </c>
      <c r="R669">
        <f>IF(ISNUMBER(SEARCH('1Př1'!$A$32,N669)),MAX($M$2:M668)+1,0)</f>
        <v>667</v>
      </c>
      <c r="S669" s="325" t="s">
        <v>2782</v>
      </c>
      <c r="T669" t="str">
        <f>IFERROR(VLOOKUP(ROWS($T$3:T669),$R$3:$S$992,2,0),"")</f>
        <v>Maloobchod s masem a masnými výrobky</v>
      </c>
      <c r="U669">
        <f>IF(ISNUMBER(SEARCH('1Př1'!$A$33,N669)),MAX($M$2:M668)+1,0)</f>
        <v>667</v>
      </c>
      <c r="V669" s="325" t="s">
        <v>2782</v>
      </c>
      <c r="W669" t="str">
        <f>IFERROR(VLOOKUP(ROWS($W$3:W669),$U$3:$V$992,2,0),"")</f>
        <v>Maloobchod s masem a masnými výrobky</v>
      </c>
      <c r="X669">
        <f>IF(ISNUMBER(SEARCH('1Př1'!$A$34,N669)),MAX($M$2:M668)+1,0)</f>
        <v>667</v>
      </c>
      <c r="Y669" s="325" t="s">
        <v>2782</v>
      </c>
      <c r="Z669" t="str">
        <f>IFERROR(VLOOKUP(ROWS($Z$3:Z669),$X$3:$Y$992,2,0),"")</f>
        <v>Maloobchod s masem a masnými výrobky</v>
      </c>
    </row>
    <row r="670" spans="13:26">
      <c r="M670" s="324">
        <f>IF(ISNUMBER(SEARCH(ZAKL_DATA!$B$29,N670)),MAX($M$2:M669)+1,0)</f>
        <v>668</v>
      </c>
      <c r="N670" s="325" t="s">
        <v>2784</v>
      </c>
      <c r="O670" s="340" t="s">
        <v>2785</v>
      </c>
      <c r="Q670" s="327" t="str">
        <f>IFERROR(VLOOKUP(ROWS($Q$3:Q670),$M$3:$N$992,2,0),"")</f>
        <v>Maloobchod s rybami, korýši a měkkýši</v>
      </c>
      <c r="R670">
        <f>IF(ISNUMBER(SEARCH('1Př1'!$A$32,N670)),MAX($M$2:M669)+1,0)</f>
        <v>668</v>
      </c>
      <c r="S670" s="325" t="s">
        <v>2784</v>
      </c>
      <c r="T670" t="str">
        <f>IFERROR(VLOOKUP(ROWS($T$3:T670),$R$3:$S$992,2,0),"")</f>
        <v>Maloobchod s rybami, korýši a měkkýši</v>
      </c>
      <c r="U670">
        <f>IF(ISNUMBER(SEARCH('1Př1'!$A$33,N670)),MAX($M$2:M669)+1,0)</f>
        <v>668</v>
      </c>
      <c r="V670" s="325" t="s">
        <v>2784</v>
      </c>
      <c r="W670" t="str">
        <f>IFERROR(VLOOKUP(ROWS($W$3:W670),$U$3:$V$992,2,0),"")</f>
        <v>Maloobchod s rybami, korýši a měkkýši</v>
      </c>
      <c r="X670">
        <f>IF(ISNUMBER(SEARCH('1Př1'!$A$34,N670)),MAX($M$2:M669)+1,0)</f>
        <v>668</v>
      </c>
      <c r="Y670" s="325" t="s">
        <v>2784</v>
      </c>
      <c r="Z670" t="str">
        <f>IFERROR(VLOOKUP(ROWS($Z$3:Z670),$X$3:$Y$992,2,0),"")</f>
        <v>Maloobchod s rybami, korýši a měkkýši</v>
      </c>
    </row>
    <row r="671" spans="13:26">
      <c r="M671" s="324">
        <f>IF(ISNUMBER(SEARCH(ZAKL_DATA!$B$29,N671)),MAX($M$2:M670)+1,0)</f>
        <v>669</v>
      </c>
      <c r="N671" s="325" t="s">
        <v>2786</v>
      </c>
      <c r="O671" s="340" t="s">
        <v>2787</v>
      </c>
      <c r="Q671" s="327" t="str">
        <f>IFERROR(VLOOKUP(ROWS($Q$3:Q671),$M$3:$N$992,2,0),"")</f>
        <v>Maloobchod s chlebem, pečivem, cukrářskými výrobky a cukrovinkami</v>
      </c>
      <c r="R671">
        <f>IF(ISNUMBER(SEARCH('1Př1'!$A$32,N671)),MAX($M$2:M670)+1,0)</f>
        <v>669</v>
      </c>
      <c r="S671" s="325" t="s">
        <v>2786</v>
      </c>
      <c r="T671" t="str">
        <f>IFERROR(VLOOKUP(ROWS($T$3:T671),$R$3:$S$992,2,0),"")</f>
        <v>Maloobchod s chlebem, pečivem, cukrářskými výrobky a cukrovinkami</v>
      </c>
      <c r="U671">
        <f>IF(ISNUMBER(SEARCH('1Př1'!$A$33,N671)),MAX($M$2:M670)+1,0)</f>
        <v>669</v>
      </c>
      <c r="V671" s="325" t="s">
        <v>2786</v>
      </c>
      <c r="W671" t="str">
        <f>IFERROR(VLOOKUP(ROWS($W$3:W671),$U$3:$V$992,2,0),"")</f>
        <v>Maloobchod s chlebem, pečivem, cukrářskými výrobky a cukrovinkami</v>
      </c>
      <c r="X671">
        <f>IF(ISNUMBER(SEARCH('1Př1'!$A$34,N671)),MAX($M$2:M670)+1,0)</f>
        <v>669</v>
      </c>
      <c r="Y671" s="325" t="s">
        <v>2786</v>
      </c>
      <c r="Z671" t="str">
        <f>IFERROR(VLOOKUP(ROWS($Z$3:Z671),$X$3:$Y$992,2,0),"")</f>
        <v>Maloobchod s chlebem, pečivem, cukrářskými výrobky a cukrovinkami</v>
      </c>
    </row>
    <row r="672" spans="13:26">
      <c r="M672" s="324">
        <f>IF(ISNUMBER(SEARCH(ZAKL_DATA!$B$29,N672)),MAX($M$2:M671)+1,0)</f>
        <v>670</v>
      </c>
      <c r="N672" s="325" t="s">
        <v>2788</v>
      </c>
      <c r="O672" s="340" t="s">
        <v>2789</v>
      </c>
      <c r="Q672" s="327" t="str">
        <f>IFERROR(VLOOKUP(ROWS($Q$3:Q672),$M$3:$N$992,2,0),"")</f>
        <v>Maloobchod s nápoji</v>
      </c>
      <c r="R672">
        <f>IF(ISNUMBER(SEARCH('1Př1'!$A$32,N672)),MAX($M$2:M671)+1,0)</f>
        <v>670</v>
      </c>
      <c r="S672" s="325" t="s">
        <v>2788</v>
      </c>
      <c r="T672" t="str">
        <f>IFERROR(VLOOKUP(ROWS($T$3:T672),$R$3:$S$992,2,0),"")</f>
        <v>Maloobchod s nápoji</v>
      </c>
      <c r="U672">
        <f>IF(ISNUMBER(SEARCH('1Př1'!$A$33,N672)),MAX($M$2:M671)+1,0)</f>
        <v>670</v>
      </c>
      <c r="V672" s="325" t="s">
        <v>2788</v>
      </c>
      <c r="W672" t="str">
        <f>IFERROR(VLOOKUP(ROWS($W$3:W672),$U$3:$V$992,2,0),"")</f>
        <v>Maloobchod s nápoji</v>
      </c>
      <c r="X672">
        <f>IF(ISNUMBER(SEARCH('1Př1'!$A$34,N672)),MAX($M$2:M671)+1,0)</f>
        <v>670</v>
      </c>
      <c r="Y672" s="325" t="s">
        <v>2788</v>
      </c>
      <c r="Z672" t="str">
        <f>IFERROR(VLOOKUP(ROWS($Z$3:Z672),$X$3:$Y$992,2,0),"")</f>
        <v>Maloobchod s nápoji</v>
      </c>
    </row>
    <row r="673" spans="13:26">
      <c r="M673" s="324">
        <f>IF(ISNUMBER(SEARCH(ZAKL_DATA!$B$29,N673)),MAX($M$2:M672)+1,0)</f>
        <v>671</v>
      </c>
      <c r="N673" s="325" t="s">
        <v>2790</v>
      </c>
      <c r="O673" s="340" t="s">
        <v>2791</v>
      </c>
      <c r="Q673" s="327" t="str">
        <f>IFERROR(VLOOKUP(ROWS($Q$3:Q673),$M$3:$N$992,2,0),"")</f>
        <v>Maloobchod s tabákovými výrobky</v>
      </c>
      <c r="R673">
        <f>IF(ISNUMBER(SEARCH('1Př1'!$A$32,N673)),MAX($M$2:M672)+1,0)</f>
        <v>671</v>
      </c>
      <c r="S673" s="325" t="s">
        <v>2790</v>
      </c>
      <c r="T673" t="str">
        <f>IFERROR(VLOOKUP(ROWS($T$3:T673),$R$3:$S$992,2,0),"")</f>
        <v>Maloobchod s tabákovými výrobky</v>
      </c>
      <c r="U673">
        <f>IF(ISNUMBER(SEARCH('1Př1'!$A$33,N673)),MAX($M$2:M672)+1,0)</f>
        <v>671</v>
      </c>
      <c r="V673" s="325" t="s">
        <v>2790</v>
      </c>
      <c r="W673" t="str">
        <f>IFERROR(VLOOKUP(ROWS($W$3:W673),$U$3:$V$992,2,0),"")</f>
        <v>Maloobchod s tabákovými výrobky</v>
      </c>
      <c r="X673">
        <f>IF(ISNUMBER(SEARCH('1Př1'!$A$34,N673)),MAX($M$2:M672)+1,0)</f>
        <v>671</v>
      </c>
      <c r="Y673" s="325" t="s">
        <v>2790</v>
      </c>
      <c r="Z673" t="str">
        <f>IFERROR(VLOOKUP(ROWS($Z$3:Z673),$X$3:$Y$992,2,0),"")</f>
        <v>Maloobchod s tabákovými výrobky</v>
      </c>
    </row>
    <row r="674" spans="13:26">
      <c r="M674" s="324">
        <f>IF(ISNUMBER(SEARCH(ZAKL_DATA!$B$29,N674)),MAX($M$2:M673)+1,0)</f>
        <v>672</v>
      </c>
      <c r="N674" s="325" t="s">
        <v>2792</v>
      </c>
      <c r="O674" s="340" t="s">
        <v>2793</v>
      </c>
      <c r="Q674" s="327" t="str">
        <f>IFERROR(VLOOKUP(ROWS($Q$3:Q674),$M$3:$N$992,2,0),"")</f>
        <v>Ostatní maloobchod s potravinami ve specializovaných prodejnách</v>
      </c>
      <c r="R674">
        <f>IF(ISNUMBER(SEARCH('1Př1'!$A$32,N674)),MAX($M$2:M673)+1,0)</f>
        <v>672</v>
      </c>
      <c r="S674" s="325" t="s">
        <v>2792</v>
      </c>
      <c r="T674" t="str">
        <f>IFERROR(VLOOKUP(ROWS($T$3:T674),$R$3:$S$992,2,0),"")</f>
        <v>Ostatní maloobchod s potravinami ve specializovaných prodejnách</v>
      </c>
      <c r="U674">
        <f>IF(ISNUMBER(SEARCH('1Př1'!$A$33,N674)),MAX($M$2:M673)+1,0)</f>
        <v>672</v>
      </c>
      <c r="V674" s="325" t="s">
        <v>2792</v>
      </c>
      <c r="W674" t="str">
        <f>IFERROR(VLOOKUP(ROWS($W$3:W674),$U$3:$V$992,2,0),"")</f>
        <v>Ostatní maloobchod s potravinami ve specializovaných prodejnách</v>
      </c>
      <c r="X674">
        <f>IF(ISNUMBER(SEARCH('1Př1'!$A$34,N674)),MAX($M$2:M673)+1,0)</f>
        <v>672</v>
      </c>
      <c r="Y674" s="325" t="s">
        <v>2792</v>
      </c>
      <c r="Z674" t="str">
        <f>IFERROR(VLOOKUP(ROWS($Z$3:Z674),$X$3:$Y$992,2,0),"")</f>
        <v>Ostatní maloobchod s potravinami ve specializovaných prodejnách</v>
      </c>
    </row>
    <row r="675" spans="13:26">
      <c r="M675" s="324">
        <f>IF(ISNUMBER(SEARCH(ZAKL_DATA!$B$29,N675)),MAX($M$2:M674)+1,0)</f>
        <v>673</v>
      </c>
      <c r="N675" s="325" t="s">
        <v>2794</v>
      </c>
      <c r="O675" s="340" t="s">
        <v>2795</v>
      </c>
      <c r="Q675" s="327" t="str">
        <f>IFERROR(VLOOKUP(ROWS($Q$3:Q675),$M$3:$N$992,2,0),"")</f>
        <v>Maloobchod s počítači, počítačovým periferním zařízením a softwarem</v>
      </c>
      <c r="R675">
        <f>IF(ISNUMBER(SEARCH('1Př1'!$A$32,N675)),MAX($M$2:M674)+1,0)</f>
        <v>673</v>
      </c>
      <c r="S675" s="325" t="s">
        <v>2794</v>
      </c>
      <c r="T675" t="str">
        <f>IFERROR(VLOOKUP(ROWS($T$3:T675),$R$3:$S$992,2,0),"")</f>
        <v>Maloobchod s počítači, počítačovým periferním zařízením a softwarem</v>
      </c>
      <c r="U675">
        <f>IF(ISNUMBER(SEARCH('1Př1'!$A$33,N675)),MAX($M$2:M674)+1,0)</f>
        <v>673</v>
      </c>
      <c r="V675" s="325" t="s">
        <v>2794</v>
      </c>
      <c r="W675" t="str">
        <f>IFERROR(VLOOKUP(ROWS($W$3:W675),$U$3:$V$992,2,0),"")</f>
        <v>Maloobchod s počítači, počítačovým periferním zařízením a softwarem</v>
      </c>
      <c r="X675">
        <f>IF(ISNUMBER(SEARCH('1Př1'!$A$34,N675)),MAX($M$2:M674)+1,0)</f>
        <v>673</v>
      </c>
      <c r="Y675" s="325" t="s">
        <v>2794</v>
      </c>
      <c r="Z675" t="str">
        <f>IFERROR(VLOOKUP(ROWS($Z$3:Z675),$X$3:$Y$992,2,0),"")</f>
        <v>Maloobchod s počítači, počítačovým periferním zařízením a softwarem</v>
      </c>
    </row>
    <row r="676" spans="13:26">
      <c r="M676" s="324">
        <f>IF(ISNUMBER(SEARCH(ZAKL_DATA!$B$29,N676)),MAX($M$2:M675)+1,0)</f>
        <v>674</v>
      </c>
      <c r="N676" s="325" t="s">
        <v>2796</v>
      </c>
      <c r="O676" s="340" t="s">
        <v>2797</v>
      </c>
      <c r="Q676" s="327" t="str">
        <f>IFERROR(VLOOKUP(ROWS($Q$3:Q676),$M$3:$N$992,2,0),"")</f>
        <v>Maloobchod s telekomunikačním zařízením</v>
      </c>
      <c r="R676">
        <f>IF(ISNUMBER(SEARCH('1Př1'!$A$32,N676)),MAX($M$2:M675)+1,0)</f>
        <v>674</v>
      </c>
      <c r="S676" s="325" t="s">
        <v>2796</v>
      </c>
      <c r="T676" t="str">
        <f>IFERROR(VLOOKUP(ROWS($T$3:T676),$R$3:$S$992,2,0),"")</f>
        <v>Maloobchod s telekomunikačním zařízením</v>
      </c>
      <c r="U676">
        <f>IF(ISNUMBER(SEARCH('1Př1'!$A$33,N676)),MAX($M$2:M675)+1,0)</f>
        <v>674</v>
      </c>
      <c r="V676" s="325" t="s">
        <v>2796</v>
      </c>
      <c r="W676" t="str">
        <f>IFERROR(VLOOKUP(ROWS($W$3:W676),$U$3:$V$992,2,0),"")</f>
        <v>Maloobchod s telekomunikačním zařízením</v>
      </c>
      <c r="X676">
        <f>IF(ISNUMBER(SEARCH('1Př1'!$A$34,N676)),MAX($M$2:M675)+1,0)</f>
        <v>674</v>
      </c>
      <c r="Y676" s="325" t="s">
        <v>2796</v>
      </c>
      <c r="Z676" t="str">
        <f>IFERROR(VLOOKUP(ROWS($Z$3:Z676),$X$3:$Y$992,2,0),"")</f>
        <v>Maloobchod s telekomunikačním zařízením</v>
      </c>
    </row>
    <row r="677" spans="13:26">
      <c r="M677" s="324">
        <f>IF(ISNUMBER(SEARCH(ZAKL_DATA!$B$29,N677)),MAX($M$2:M676)+1,0)</f>
        <v>675</v>
      </c>
      <c r="N677" s="325" t="s">
        <v>2798</v>
      </c>
      <c r="O677" s="340" t="s">
        <v>2799</v>
      </c>
      <c r="Q677" s="327" t="str">
        <f>IFERROR(VLOOKUP(ROWS($Q$3:Q677),$M$3:$N$992,2,0),"")</f>
        <v>Maloobchod s audio- a videozařízením</v>
      </c>
      <c r="R677">
        <f>IF(ISNUMBER(SEARCH('1Př1'!$A$32,N677)),MAX($M$2:M676)+1,0)</f>
        <v>675</v>
      </c>
      <c r="S677" s="325" t="s">
        <v>2798</v>
      </c>
      <c r="T677" t="str">
        <f>IFERROR(VLOOKUP(ROWS($T$3:T677),$R$3:$S$992,2,0),"")</f>
        <v>Maloobchod s audio- a videozařízením</v>
      </c>
      <c r="U677">
        <f>IF(ISNUMBER(SEARCH('1Př1'!$A$33,N677)),MAX($M$2:M676)+1,0)</f>
        <v>675</v>
      </c>
      <c r="V677" s="325" t="s">
        <v>2798</v>
      </c>
      <c r="W677" t="str">
        <f>IFERROR(VLOOKUP(ROWS($W$3:W677),$U$3:$V$992,2,0),"")</f>
        <v>Maloobchod s audio- a videozařízením</v>
      </c>
      <c r="X677">
        <f>IF(ISNUMBER(SEARCH('1Př1'!$A$34,N677)),MAX($M$2:M676)+1,0)</f>
        <v>675</v>
      </c>
      <c r="Y677" s="325" t="s">
        <v>2798</v>
      </c>
      <c r="Z677" t="str">
        <f>IFERROR(VLOOKUP(ROWS($Z$3:Z677),$X$3:$Y$992,2,0),"")</f>
        <v>Maloobchod s audio- a videozařízením</v>
      </c>
    </row>
    <row r="678" spans="13:26">
      <c r="M678" s="324">
        <f>IF(ISNUMBER(SEARCH(ZAKL_DATA!$B$29,N678)),MAX($M$2:M677)+1,0)</f>
        <v>676</v>
      </c>
      <c r="N678" s="325" t="s">
        <v>2800</v>
      </c>
      <c r="O678" s="340" t="s">
        <v>2801</v>
      </c>
      <c r="Q678" s="327" t="str">
        <f>IFERROR(VLOOKUP(ROWS($Q$3:Q678),$M$3:$N$992,2,0),"")</f>
        <v>Maloobchod s textilem</v>
      </c>
      <c r="R678">
        <f>IF(ISNUMBER(SEARCH('1Př1'!$A$32,N678)),MAX($M$2:M677)+1,0)</f>
        <v>676</v>
      </c>
      <c r="S678" s="325" t="s">
        <v>2800</v>
      </c>
      <c r="T678" t="str">
        <f>IFERROR(VLOOKUP(ROWS($T$3:T678),$R$3:$S$992,2,0),"")</f>
        <v>Maloobchod s textilem</v>
      </c>
      <c r="U678">
        <f>IF(ISNUMBER(SEARCH('1Př1'!$A$33,N678)),MAX($M$2:M677)+1,0)</f>
        <v>676</v>
      </c>
      <c r="V678" s="325" t="s">
        <v>2800</v>
      </c>
      <c r="W678" t="str">
        <f>IFERROR(VLOOKUP(ROWS($W$3:W678),$U$3:$V$992,2,0),"")</f>
        <v>Maloobchod s textilem</v>
      </c>
      <c r="X678">
        <f>IF(ISNUMBER(SEARCH('1Př1'!$A$34,N678)),MAX($M$2:M677)+1,0)</f>
        <v>676</v>
      </c>
      <c r="Y678" s="325" t="s">
        <v>2800</v>
      </c>
      <c r="Z678" t="str">
        <f>IFERROR(VLOOKUP(ROWS($Z$3:Z678),$X$3:$Y$992,2,0),"")</f>
        <v>Maloobchod s textilem</v>
      </c>
    </row>
    <row r="679" spans="13:26">
      <c r="M679" s="324">
        <f>IF(ISNUMBER(SEARCH(ZAKL_DATA!$B$29,N679)),MAX($M$2:M678)+1,0)</f>
        <v>677</v>
      </c>
      <c r="N679" s="325" t="s">
        <v>2802</v>
      </c>
      <c r="O679" s="340" t="s">
        <v>2803</v>
      </c>
      <c r="Q679" s="327" t="str">
        <f>IFERROR(VLOOKUP(ROWS($Q$3:Q679),$M$3:$N$992,2,0),"")</f>
        <v>Maloobchod s železářským zbožím, barvami, sklem a potřebami pro kutily</v>
      </c>
      <c r="R679">
        <f>IF(ISNUMBER(SEARCH('1Př1'!$A$32,N679)),MAX($M$2:M678)+1,0)</f>
        <v>677</v>
      </c>
      <c r="S679" s="325" t="s">
        <v>2802</v>
      </c>
      <c r="T679" t="str">
        <f>IFERROR(VLOOKUP(ROWS($T$3:T679),$R$3:$S$992,2,0),"")</f>
        <v>Maloobchod s železářským zbožím, barvami, sklem a potřebami pro kutily</v>
      </c>
      <c r="U679">
        <f>IF(ISNUMBER(SEARCH('1Př1'!$A$33,N679)),MAX($M$2:M678)+1,0)</f>
        <v>677</v>
      </c>
      <c r="V679" s="325" t="s">
        <v>2802</v>
      </c>
      <c r="W679" t="str">
        <f>IFERROR(VLOOKUP(ROWS($W$3:W679),$U$3:$V$992,2,0),"")</f>
        <v>Maloobchod s železářským zbožím, barvami, sklem a potřebami pro kutily</v>
      </c>
      <c r="X679">
        <f>IF(ISNUMBER(SEARCH('1Př1'!$A$34,N679)),MAX($M$2:M678)+1,0)</f>
        <v>677</v>
      </c>
      <c r="Y679" s="325" t="s">
        <v>2802</v>
      </c>
      <c r="Z679" t="str">
        <f>IFERROR(VLOOKUP(ROWS($Z$3:Z679),$X$3:$Y$992,2,0),"")</f>
        <v>Maloobchod s železářským zbožím, barvami, sklem a potřebami pro kutily</v>
      </c>
    </row>
    <row r="680" spans="13:26">
      <c r="M680" s="324">
        <f>IF(ISNUMBER(SEARCH(ZAKL_DATA!$B$29,N680)),MAX($M$2:M679)+1,0)</f>
        <v>678</v>
      </c>
      <c r="N680" s="325" t="s">
        <v>2804</v>
      </c>
      <c r="O680" s="340" t="s">
        <v>2805</v>
      </c>
      <c r="Q680" s="327" t="str">
        <f>IFERROR(VLOOKUP(ROWS($Q$3:Q680),$M$3:$N$992,2,0),"")</f>
        <v>Maloobchod s koberci, podlahovými krytinami a nástěnnými obklady</v>
      </c>
      <c r="R680">
        <f>IF(ISNUMBER(SEARCH('1Př1'!$A$32,N680)),MAX($M$2:M679)+1,0)</f>
        <v>678</v>
      </c>
      <c r="S680" s="325" t="s">
        <v>2804</v>
      </c>
      <c r="T680" t="str">
        <f>IFERROR(VLOOKUP(ROWS($T$3:T680),$R$3:$S$992,2,0),"")</f>
        <v>Maloobchod s koberci, podlahovými krytinami a nástěnnými obklady</v>
      </c>
      <c r="U680">
        <f>IF(ISNUMBER(SEARCH('1Př1'!$A$33,N680)),MAX($M$2:M679)+1,0)</f>
        <v>678</v>
      </c>
      <c r="V680" s="325" t="s">
        <v>2804</v>
      </c>
      <c r="W680" t="str">
        <f>IFERROR(VLOOKUP(ROWS($W$3:W680),$U$3:$V$992,2,0),"")</f>
        <v>Maloobchod s koberci, podlahovými krytinami a nástěnnými obklady</v>
      </c>
      <c r="X680">
        <f>IF(ISNUMBER(SEARCH('1Př1'!$A$34,N680)),MAX($M$2:M679)+1,0)</f>
        <v>678</v>
      </c>
      <c r="Y680" s="325" t="s">
        <v>2804</v>
      </c>
      <c r="Z680" t="str">
        <f>IFERROR(VLOOKUP(ROWS($Z$3:Z680),$X$3:$Y$992,2,0),"")</f>
        <v>Maloobchod s koberci, podlahovými krytinami a nástěnnými obklady</v>
      </c>
    </row>
    <row r="681" spans="13:26">
      <c r="M681" s="324">
        <f>IF(ISNUMBER(SEARCH(ZAKL_DATA!$B$29,N681)),MAX($M$2:M680)+1,0)</f>
        <v>679</v>
      </c>
      <c r="N681" s="325" t="s">
        <v>2806</v>
      </c>
      <c r="O681" s="340" t="s">
        <v>2807</v>
      </c>
      <c r="Q681" s="327" t="str">
        <f>IFERROR(VLOOKUP(ROWS($Q$3:Q681),$M$3:$N$992,2,0),"")</f>
        <v>Maloobchod s elektrospotřebiči a elektronikou</v>
      </c>
      <c r="R681">
        <f>IF(ISNUMBER(SEARCH('1Př1'!$A$32,N681)),MAX($M$2:M680)+1,0)</f>
        <v>679</v>
      </c>
      <c r="S681" s="325" t="s">
        <v>2806</v>
      </c>
      <c r="T681" t="str">
        <f>IFERROR(VLOOKUP(ROWS($T$3:T681),$R$3:$S$992,2,0),"")</f>
        <v>Maloobchod s elektrospotřebiči a elektronikou</v>
      </c>
      <c r="U681">
        <f>IF(ISNUMBER(SEARCH('1Př1'!$A$33,N681)),MAX($M$2:M680)+1,0)</f>
        <v>679</v>
      </c>
      <c r="V681" s="325" t="s">
        <v>2806</v>
      </c>
      <c r="W681" t="str">
        <f>IFERROR(VLOOKUP(ROWS($W$3:W681),$U$3:$V$992,2,0),"")</f>
        <v>Maloobchod s elektrospotřebiči a elektronikou</v>
      </c>
      <c r="X681">
        <f>IF(ISNUMBER(SEARCH('1Př1'!$A$34,N681)),MAX($M$2:M680)+1,0)</f>
        <v>679</v>
      </c>
      <c r="Y681" s="325" t="s">
        <v>2806</v>
      </c>
      <c r="Z681" t="str">
        <f>IFERROR(VLOOKUP(ROWS($Z$3:Z681),$X$3:$Y$992,2,0),"")</f>
        <v>Maloobchod s elektrospotřebiči a elektronikou</v>
      </c>
    </row>
    <row r="682" spans="13:26">
      <c r="M682" s="324">
        <f>IF(ISNUMBER(SEARCH(ZAKL_DATA!$B$29,N682)),MAX($M$2:M681)+1,0)</f>
        <v>680</v>
      </c>
      <c r="N682" s="325" t="s">
        <v>2808</v>
      </c>
      <c r="O682" s="340" t="s">
        <v>2809</v>
      </c>
      <c r="Q682" s="327" t="str">
        <f>IFERROR(VLOOKUP(ROWS($Q$3:Q682),$M$3:$N$992,2,0),"")</f>
        <v>Maloobchod s nábytkem,svítidly a ost.výr.přev.pro dom.ve specializ.prod.</v>
      </c>
      <c r="R682">
        <f>IF(ISNUMBER(SEARCH('1Př1'!$A$32,N682)),MAX($M$2:M681)+1,0)</f>
        <v>680</v>
      </c>
      <c r="S682" s="325" t="s">
        <v>2808</v>
      </c>
      <c r="T682" t="str">
        <f>IFERROR(VLOOKUP(ROWS($T$3:T682),$R$3:$S$992,2,0),"")</f>
        <v>Maloobchod s nábytkem,svítidly a ost.výr.přev.pro dom.ve specializ.prod.</v>
      </c>
      <c r="U682">
        <f>IF(ISNUMBER(SEARCH('1Př1'!$A$33,N682)),MAX($M$2:M681)+1,0)</f>
        <v>680</v>
      </c>
      <c r="V682" s="325" t="s">
        <v>2808</v>
      </c>
      <c r="W682" t="str">
        <f>IFERROR(VLOOKUP(ROWS($W$3:W682),$U$3:$V$992,2,0),"")</f>
        <v>Maloobchod s nábytkem,svítidly a ost.výr.přev.pro dom.ve specializ.prod.</v>
      </c>
      <c r="X682">
        <f>IF(ISNUMBER(SEARCH('1Př1'!$A$34,N682)),MAX($M$2:M681)+1,0)</f>
        <v>680</v>
      </c>
      <c r="Y682" s="325" t="s">
        <v>2808</v>
      </c>
      <c r="Z682" t="str">
        <f>IFERROR(VLOOKUP(ROWS($Z$3:Z682),$X$3:$Y$992,2,0),"")</f>
        <v>Maloobchod s nábytkem,svítidly a ost.výr.přev.pro dom.ve specializ.prod.</v>
      </c>
    </row>
    <row r="683" spans="13:26">
      <c r="M683" s="324">
        <f>IF(ISNUMBER(SEARCH(ZAKL_DATA!$B$29,N683)),MAX($M$2:M682)+1,0)</f>
        <v>681</v>
      </c>
      <c r="N683" s="325" t="s">
        <v>2810</v>
      </c>
      <c r="O683" s="340" t="s">
        <v>2811</v>
      </c>
      <c r="Q683" s="327" t="str">
        <f>IFERROR(VLOOKUP(ROWS($Q$3:Q683),$M$3:$N$992,2,0),"")</f>
        <v>Maloobchod s knihami</v>
      </c>
      <c r="R683">
        <f>IF(ISNUMBER(SEARCH('1Př1'!$A$32,N683)),MAX($M$2:M682)+1,0)</f>
        <v>681</v>
      </c>
      <c r="S683" s="325" t="s">
        <v>2810</v>
      </c>
      <c r="T683" t="str">
        <f>IFERROR(VLOOKUP(ROWS($T$3:T683),$R$3:$S$992,2,0),"")</f>
        <v>Maloobchod s knihami</v>
      </c>
      <c r="U683">
        <f>IF(ISNUMBER(SEARCH('1Př1'!$A$33,N683)),MAX($M$2:M682)+1,0)</f>
        <v>681</v>
      </c>
      <c r="V683" s="325" t="s">
        <v>2810</v>
      </c>
      <c r="W683" t="str">
        <f>IFERROR(VLOOKUP(ROWS($W$3:W683),$U$3:$V$992,2,0),"")</f>
        <v>Maloobchod s knihami</v>
      </c>
      <c r="X683">
        <f>IF(ISNUMBER(SEARCH('1Př1'!$A$34,N683)),MAX($M$2:M682)+1,0)</f>
        <v>681</v>
      </c>
      <c r="Y683" s="325" t="s">
        <v>2810</v>
      </c>
      <c r="Z683" t="str">
        <f>IFERROR(VLOOKUP(ROWS($Z$3:Z683),$X$3:$Y$992,2,0),"")</f>
        <v>Maloobchod s knihami</v>
      </c>
    </row>
    <row r="684" spans="13:26">
      <c r="M684" s="324">
        <f>IF(ISNUMBER(SEARCH(ZAKL_DATA!$B$29,N684)),MAX($M$2:M683)+1,0)</f>
        <v>682</v>
      </c>
      <c r="N684" s="325" t="s">
        <v>2812</v>
      </c>
      <c r="O684" s="340" t="s">
        <v>2813</v>
      </c>
      <c r="Q684" s="327" t="str">
        <f>IFERROR(VLOOKUP(ROWS($Q$3:Q684),$M$3:$N$992,2,0),"")</f>
        <v>Maloobchod s novinami, časopisy a papírnickým zbožím</v>
      </c>
      <c r="R684">
        <f>IF(ISNUMBER(SEARCH('1Př1'!$A$32,N684)),MAX($M$2:M683)+1,0)</f>
        <v>682</v>
      </c>
      <c r="S684" s="325" t="s">
        <v>2812</v>
      </c>
      <c r="T684" t="str">
        <f>IFERROR(VLOOKUP(ROWS($T$3:T684),$R$3:$S$992,2,0),"")</f>
        <v>Maloobchod s novinami, časopisy a papírnickým zbožím</v>
      </c>
      <c r="U684">
        <f>IF(ISNUMBER(SEARCH('1Př1'!$A$33,N684)),MAX($M$2:M683)+1,0)</f>
        <v>682</v>
      </c>
      <c r="V684" s="325" t="s">
        <v>2812</v>
      </c>
      <c r="W684" t="str">
        <f>IFERROR(VLOOKUP(ROWS($W$3:W684),$U$3:$V$992,2,0),"")</f>
        <v>Maloobchod s novinami, časopisy a papírnickým zbožím</v>
      </c>
      <c r="X684">
        <f>IF(ISNUMBER(SEARCH('1Př1'!$A$34,N684)),MAX($M$2:M683)+1,0)</f>
        <v>682</v>
      </c>
      <c r="Y684" s="325" t="s">
        <v>2812</v>
      </c>
      <c r="Z684" t="str">
        <f>IFERROR(VLOOKUP(ROWS($Z$3:Z684),$X$3:$Y$992,2,0),"")</f>
        <v>Maloobchod s novinami, časopisy a papírnickým zbožím</v>
      </c>
    </row>
    <row r="685" spans="13:26">
      <c r="M685" s="324">
        <f>IF(ISNUMBER(SEARCH(ZAKL_DATA!$B$29,N685)),MAX($M$2:M684)+1,0)</f>
        <v>683</v>
      </c>
      <c r="N685" s="325" t="s">
        <v>2814</v>
      </c>
      <c r="O685" s="340" t="s">
        <v>2815</v>
      </c>
      <c r="Q685" s="327" t="str">
        <f>IFERROR(VLOOKUP(ROWS($Q$3:Q685),$M$3:$N$992,2,0),"")</f>
        <v>Maloobchod s audio- a videozáznamy</v>
      </c>
      <c r="R685">
        <f>IF(ISNUMBER(SEARCH('1Př1'!$A$32,N685)),MAX($M$2:M684)+1,0)</f>
        <v>683</v>
      </c>
      <c r="S685" s="325" t="s">
        <v>2814</v>
      </c>
      <c r="T685" t="str">
        <f>IFERROR(VLOOKUP(ROWS($T$3:T685),$R$3:$S$992,2,0),"")</f>
        <v>Maloobchod s audio- a videozáznamy</v>
      </c>
      <c r="U685">
        <f>IF(ISNUMBER(SEARCH('1Př1'!$A$33,N685)),MAX($M$2:M684)+1,0)</f>
        <v>683</v>
      </c>
      <c r="V685" s="325" t="s">
        <v>2814</v>
      </c>
      <c r="W685" t="str">
        <f>IFERROR(VLOOKUP(ROWS($W$3:W685),$U$3:$V$992,2,0),"")</f>
        <v>Maloobchod s audio- a videozáznamy</v>
      </c>
      <c r="X685">
        <f>IF(ISNUMBER(SEARCH('1Př1'!$A$34,N685)),MAX($M$2:M684)+1,0)</f>
        <v>683</v>
      </c>
      <c r="Y685" s="325" t="s">
        <v>2814</v>
      </c>
      <c r="Z685" t="str">
        <f>IFERROR(VLOOKUP(ROWS($Z$3:Z685),$X$3:$Y$992,2,0),"")</f>
        <v>Maloobchod s audio- a videozáznamy</v>
      </c>
    </row>
    <row r="686" spans="13:26">
      <c r="M686" s="324">
        <f>IF(ISNUMBER(SEARCH(ZAKL_DATA!$B$29,N686)),MAX($M$2:M685)+1,0)</f>
        <v>684</v>
      </c>
      <c r="N686" s="325" t="s">
        <v>2816</v>
      </c>
      <c r="O686" s="340" t="s">
        <v>2817</v>
      </c>
      <c r="Q686" s="327" t="str">
        <f>IFERROR(VLOOKUP(ROWS($Q$3:Q686),$M$3:$N$992,2,0),"")</f>
        <v>Maloobchod se sportovním vybavením</v>
      </c>
      <c r="R686">
        <f>IF(ISNUMBER(SEARCH('1Př1'!$A$32,N686)),MAX($M$2:M685)+1,0)</f>
        <v>684</v>
      </c>
      <c r="S686" s="325" t="s">
        <v>2816</v>
      </c>
      <c r="T686" t="str">
        <f>IFERROR(VLOOKUP(ROWS($T$3:T686),$R$3:$S$992,2,0),"")</f>
        <v>Maloobchod se sportovním vybavením</v>
      </c>
      <c r="U686">
        <f>IF(ISNUMBER(SEARCH('1Př1'!$A$33,N686)),MAX($M$2:M685)+1,0)</f>
        <v>684</v>
      </c>
      <c r="V686" s="325" t="s">
        <v>2816</v>
      </c>
      <c r="W686" t="str">
        <f>IFERROR(VLOOKUP(ROWS($W$3:W686),$U$3:$V$992,2,0),"")</f>
        <v>Maloobchod se sportovním vybavením</v>
      </c>
      <c r="X686">
        <f>IF(ISNUMBER(SEARCH('1Př1'!$A$34,N686)),MAX($M$2:M685)+1,0)</f>
        <v>684</v>
      </c>
      <c r="Y686" s="325" t="s">
        <v>2816</v>
      </c>
      <c r="Z686" t="str">
        <f>IFERROR(VLOOKUP(ROWS($Z$3:Z686),$X$3:$Y$992,2,0),"")</f>
        <v>Maloobchod se sportovním vybavením</v>
      </c>
    </row>
    <row r="687" spans="13:26">
      <c r="M687" s="324">
        <f>IF(ISNUMBER(SEARCH(ZAKL_DATA!$B$29,N687)),MAX($M$2:M686)+1,0)</f>
        <v>685</v>
      </c>
      <c r="N687" s="325" t="s">
        <v>2818</v>
      </c>
      <c r="O687" s="340" t="s">
        <v>2819</v>
      </c>
      <c r="Q687" s="327" t="str">
        <f>IFERROR(VLOOKUP(ROWS($Q$3:Q687),$M$3:$N$992,2,0),"")</f>
        <v>Maloobchod s hrami a hračkami</v>
      </c>
      <c r="R687">
        <f>IF(ISNUMBER(SEARCH('1Př1'!$A$32,N687)),MAX($M$2:M686)+1,0)</f>
        <v>685</v>
      </c>
      <c r="S687" s="325" t="s">
        <v>2818</v>
      </c>
      <c r="T687" t="str">
        <f>IFERROR(VLOOKUP(ROWS($T$3:T687),$R$3:$S$992,2,0),"")</f>
        <v>Maloobchod s hrami a hračkami</v>
      </c>
      <c r="U687">
        <f>IF(ISNUMBER(SEARCH('1Př1'!$A$33,N687)),MAX($M$2:M686)+1,0)</f>
        <v>685</v>
      </c>
      <c r="V687" s="325" t="s">
        <v>2818</v>
      </c>
      <c r="W687" t="str">
        <f>IFERROR(VLOOKUP(ROWS($W$3:W687),$U$3:$V$992,2,0),"")</f>
        <v>Maloobchod s hrami a hračkami</v>
      </c>
      <c r="X687">
        <f>IF(ISNUMBER(SEARCH('1Př1'!$A$34,N687)),MAX($M$2:M686)+1,0)</f>
        <v>685</v>
      </c>
      <c r="Y687" s="325" t="s">
        <v>2818</v>
      </c>
      <c r="Z687" t="str">
        <f>IFERROR(VLOOKUP(ROWS($Z$3:Z687),$X$3:$Y$992,2,0),"")</f>
        <v>Maloobchod s hrami a hračkami</v>
      </c>
    </row>
    <row r="688" spans="13:26">
      <c r="M688" s="324">
        <f>IF(ISNUMBER(SEARCH(ZAKL_DATA!$B$29,N688)),MAX($M$2:M687)+1,0)</f>
        <v>686</v>
      </c>
      <c r="N688" s="325" t="s">
        <v>2820</v>
      </c>
      <c r="O688" s="340" t="s">
        <v>2821</v>
      </c>
      <c r="Q688" s="327" t="str">
        <f>IFERROR(VLOOKUP(ROWS($Q$3:Q688),$M$3:$N$992,2,0),"")</f>
        <v>Maloobchod s oděvy</v>
      </c>
      <c r="R688">
        <f>IF(ISNUMBER(SEARCH('1Př1'!$A$32,N688)),MAX($M$2:M687)+1,0)</f>
        <v>686</v>
      </c>
      <c r="S688" s="325" t="s">
        <v>2820</v>
      </c>
      <c r="T688" t="str">
        <f>IFERROR(VLOOKUP(ROWS($T$3:T688),$R$3:$S$992,2,0),"")</f>
        <v>Maloobchod s oděvy</v>
      </c>
      <c r="U688">
        <f>IF(ISNUMBER(SEARCH('1Př1'!$A$33,N688)),MAX($M$2:M687)+1,0)</f>
        <v>686</v>
      </c>
      <c r="V688" s="325" t="s">
        <v>2820</v>
      </c>
      <c r="W688" t="str">
        <f>IFERROR(VLOOKUP(ROWS($W$3:W688),$U$3:$V$992,2,0),"")</f>
        <v>Maloobchod s oděvy</v>
      </c>
      <c r="X688">
        <f>IF(ISNUMBER(SEARCH('1Př1'!$A$34,N688)),MAX($M$2:M687)+1,0)</f>
        <v>686</v>
      </c>
      <c r="Y688" s="325" t="s">
        <v>2820</v>
      </c>
      <c r="Z688" t="str">
        <f>IFERROR(VLOOKUP(ROWS($Z$3:Z688),$X$3:$Y$992,2,0),"")</f>
        <v>Maloobchod s oděvy</v>
      </c>
    </row>
    <row r="689" spans="13:26">
      <c r="M689" s="324">
        <f>IF(ISNUMBER(SEARCH(ZAKL_DATA!$B$29,N689)),MAX($M$2:M688)+1,0)</f>
        <v>687</v>
      </c>
      <c r="N689" s="325" t="s">
        <v>2822</v>
      </c>
      <c r="O689" s="340" t="s">
        <v>2823</v>
      </c>
      <c r="Q689" s="327" t="str">
        <f>IFERROR(VLOOKUP(ROWS($Q$3:Q689),$M$3:$N$992,2,0),"")</f>
        <v>Maloobchod s obuví a koženými výrobky</v>
      </c>
      <c r="R689">
        <f>IF(ISNUMBER(SEARCH('1Př1'!$A$32,N689)),MAX($M$2:M688)+1,0)</f>
        <v>687</v>
      </c>
      <c r="S689" s="325" t="s">
        <v>2822</v>
      </c>
      <c r="T689" t="str">
        <f>IFERROR(VLOOKUP(ROWS($T$3:T689),$R$3:$S$992,2,0),"")</f>
        <v>Maloobchod s obuví a koženými výrobky</v>
      </c>
      <c r="U689">
        <f>IF(ISNUMBER(SEARCH('1Př1'!$A$33,N689)),MAX($M$2:M688)+1,0)</f>
        <v>687</v>
      </c>
      <c r="V689" s="325" t="s">
        <v>2822</v>
      </c>
      <c r="W689" t="str">
        <f>IFERROR(VLOOKUP(ROWS($W$3:W689),$U$3:$V$992,2,0),"")</f>
        <v>Maloobchod s obuví a koženými výrobky</v>
      </c>
      <c r="X689">
        <f>IF(ISNUMBER(SEARCH('1Př1'!$A$34,N689)),MAX($M$2:M688)+1,0)</f>
        <v>687</v>
      </c>
      <c r="Y689" s="325" t="s">
        <v>2822</v>
      </c>
      <c r="Z689" t="str">
        <f>IFERROR(VLOOKUP(ROWS($Z$3:Z689),$X$3:$Y$992,2,0),"")</f>
        <v>Maloobchod s obuví a koženými výrobky</v>
      </c>
    </row>
    <row r="690" spans="13:26">
      <c r="M690" s="324">
        <f>IF(ISNUMBER(SEARCH(ZAKL_DATA!$B$29,N690)),MAX($M$2:M689)+1,0)</f>
        <v>688</v>
      </c>
      <c r="N690" s="325" t="s">
        <v>2824</v>
      </c>
      <c r="O690" s="340" t="s">
        <v>2825</v>
      </c>
      <c r="Q690" s="327" t="str">
        <f>IFERROR(VLOOKUP(ROWS($Q$3:Q690),$M$3:$N$992,2,0),"")</f>
        <v>Maloobchod s farmaceutickými přípravky</v>
      </c>
      <c r="R690">
        <f>IF(ISNUMBER(SEARCH('1Př1'!$A$32,N690)),MAX($M$2:M689)+1,0)</f>
        <v>688</v>
      </c>
      <c r="S690" s="325" t="s">
        <v>2824</v>
      </c>
      <c r="T690" t="str">
        <f>IFERROR(VLOOKUP(ROWS($T$3:T690),$R$3:$S$992,2,0),"")</f>
        <v>Maloobchod s farmaceutickými přípravky</v>
      </c>
      <c r="U690">
        <f>IF(ISNUMBER(SEARCH('1Př1'!$A$33,N690)),MAX($M$2:M689)+1,0)</f>
        <v>688</v>
      </c>
      <c r="V690" s="325" t="s">
        <v>2824</v>
      </c>
      <c r="W690" t="str">
        <f>IFERROR(VLOOKUP(ROWS($W$3:W690),$U$3:$V$992,2,0),"")</f>
        <v>Maloobchod s farmaceutickými přípravky</v>
      </c>
      <c r="X690">
        <f>IF(ISNUMBER(SEARCH('1Př1'!$A$34,N690)),MAX($M$2:M689)+1,0)</f>
        <v>688</v>
      </c>
      <c r="Y690" s="325" t="s">
        <v>2824</v>
      </c>
      <c r="Z690" t="str">
        <f>IFERROR(VLOOKUP(ROWS($Z$3:Z690),$X$3:$Y$992,2,0),"")</f>
        <v>Maloobchod s farmaceutickými přípravky</v>
      </c>
    </row>
    <row r="691" spans="13:26">
      <c r="M691" s="324">
        <f>IF(ISNUMBER(SEARCH(ZAKL_DATA!$B$29,N691)),MAX($M$2:M690)+1,0)</f>
        <v>689</v>
      </c>
      <c r="N691" s="325" t="s">
        <v>2826</v>
      </c>
      <c r="O691" s="340" t="s">
        <v>2827</v>
      </c>
      <c r="Q691" s="327" t="str">
        <f>IFERROR(VLOOKUP(ROWS($Q$3:Q691),$M$3:$N$992,2,0),"")</f>
        <v>Maloobchod se zdravotnickými a ortopedickými výrobky</v>
      </c>
      <c r="R691">
        <f>IF(ISNUMBER(SEARCH('1Př1'!$A$32,N691)),MAX($M$2:M690)+1,0)</f>
        <v>689</v>
      </c>
      <c r="S691" s="325" t="s">
        <v>2826</v>
      </c>
      <c r="T691" t="str">
        <f>IFERROR(VLOOKUP(ROWS($T$3:T691),$R$3:$S$992,2,0),"")</f>
        <v>Maloobchod se zdravotnickými a ortopedickými výrobky</v>
      </c>
      <c r="U691">
        <f>IF(ISNUMBER(SEARCH('1Př1'!$A$33,N691)),MAX($M$2:M690)+1,0)</f>
        <v>689</v>
      </c>
      <c r="V691" s="325" t="s">
        <v>2826</v>
      </c>
      <c r="W691" t="str">
        <f>IFERROR(VLOOKUP(ROWS($W$3:W691),$U$3:$V$992,2,0),"")</f>
        <v>Maloobchod se zdravotnickými a ortopedickými výrobky</v>
      </c>
      <c r="X691">
        <f>IF(ISNUMBER(SEARCH('1Př1'!$A$34,N691)),MAX($M$2:M690)+1,0)</f>
        <v>689</v>
      </c>
      <c r="Y691" s="325" t="s">
        <v>2826</v>
      </c>
      <c r="Z691" t="str">
        <f>IFERROR(VLOOKUP(ROWS($Z$3:Z691),$X$3:$Y$992,2,0),"")</f>
        <v>Maloobchod se zdravotnickými a ortopedickými výrobky</v>
      </c>
    </row>
    <row r="692" spans="13:26">
      <c r="M692" s="324">
        <f>IF(ISNUMBER(SEARCH(ZAKL_DATA!$B$29,N692)),MAX($M$2:M691)+1,0)</f>
        <v>690</v>
      </c>
      <c r="N692" s="325" t="s">
        <v>2828</v>
      </c>
      <c r="O692" s="340" t="s">
        <v>2829</v>
      </c>
      <c r="Q692" s="327" t="str">
        <f>IFERROR(VLOOKUP(ROWS($Q$3:Q692),$M$3:$N$992,2,0),"")</f>
        <v>Maloobchod s kosmetickými a toaletními výrobky</v>
      </c>
      <c r="R692">
        <f>IF(ISNUMBER(SEARCH('1Př1'!$A$32,N692)),MAX($M$2:M691)+1,0)</f>
        <v>690</v>
      </c>
      <c r="S692" s="325" t="s">
        <v>2828</v>
      </c>
      <c r="T692" t="str">
        <f>IFERROR(VLOOKUP(ROWS($T$3:T692),$R$3:$S$992,2,0),"")</f>
        <v>Maloobchod s kosmetickými a toaletními výrobky</v>
      </c>
      <c r="U692">
        <f>IF(ISNUMBER(SEARCH('1Př1'!$A$33,N692)),MAX($M$2:M691)+1,0)</f>
        <v>690</v>
      </c>
      <c r="V692" s="325" t="s">
        <v>2828</v>
      </c>
      <c r="W692" t="str">
        <f>IFERROR(VLOOKUP(ROWS($W$3:W692),$U$3:$V$992,2,0),"")</f>
        <v>Maloobchod s kosmetickými a toaletními výrobky</v>
      </c>
      <c r="X692">
        <f>IF(ISNUMBER(SEARCH('1Př1'!$A$34,N692)),MAX($M$2:M691)+1,0)</f>
        <v>690</v>
      </c>
      <c r="Y692" s="325" t="s">
        <v>2828</v>
      </c>
      <c r="Z692" t="str">
        <f>IFERROR(VLOOKUP(ROWS($Z$3:Z692),$X$3:$Y$992,2,0),"")</f>
        <v>Maloobchod s kosmetickými a toaletními výrobky</v>
      </c>
    </row>
    <row r="693" spans="13:26">
      <c r="M693" s="324">
        <f>IF(ISNUMBER(SEARCH(ZAKL_DATA!$B$29,N693)),MAX($M$2:M692)+1,0)</f>
        <v>691</v>
      </c>
      <c r="N693" s="325" t="s">
        <v>2830</v>
      </c>
      <c r="O693" s="340" t="s">
        <v>2831</v>
      </c>
      <c r="Q693" s="327" t="str">
        <f>IFERROR(VLOOKUP(ROWS($Q$3:Q693),$M$3:$N$992,2,0),"")</f>
        <v>Maloob.s květinami,rostl.,osivy,hnoj.,zvířaty pro záj.chov a krmivy pro ně</v>
      </c>
      <c r="R693">
        <f>IF(ISNUMBER(SEARCH('1Př1'!$A$32,N693)),MAX($M$2:M692)+1,0)</f>
        <v>691</v>
      </c>
      <c r="S693" s="325" t="s">
        <v>2830</v>
      </c>
      <c r="T693" t="str">
        <f>IFERROR(VLOOKUP(ROWS($T$3:T693),$R$3:$S$992,2,0),"")</f>
        <v>Maloob.s květinami,rostl.,osivy,hnoj.,zvířaty pro záj.chov a krmivy pro ně</v>
      </c>
      <c r="U693">
        <f>IF(ISNUMBER(SEARCH('1Př1'!$A$33,N693)),MAX($M$2:M692)+1,0)</f>
        <v>691</v>
      </c>
      <c r="V693" s="325" t="s">
        <v>2830</v>
      </c>
      <c r="W693" t="str">
        <f>IFERROR(VLOOKUP(ROWS($W$3:W693),$U$3:$V$992,2,0),"")</f>
        <v>Maloob.s květinami,rostl.,osivy,hnoj.,zvířaty pro záj.chov a krmivy pro ně</v>
      </c>
      <c r="X693">
        <f>IF(ISNUMBER(SEARCH('1Př1'!$A$34,N693)),MAX($M$2:M692)+1,0)</f>
        <v>691</v>
      </c>
      <c r="Y693" s="325" t="s">
        <v>2830</v>
      </c>
      <c r="Z693" t="str">
        <f>IFERROR(VLOOKUP(ROWS($Z$3:Z693),$X$3:$Y$992,2,0),"")</f>
        <v>Maloob.s květinami,rostl.,osivy,hnoj.,zvířaty pro záj.chov a krmivy pro ně</v>
      </c>
    </row>
    <row r="694" spans="13:26">
      <c r="M694" s="324">
        <f>IF(ISNUMBER(SEARCH(ZAKL_DATA!$B$29,N694)),MAX($M$2:M693)+1,0)</f>
        <v>692</v>
      </c>
      <c r="N694" s="325" t="s">
        <v>2832</v>
      </c>
      <c r="O694" s="340" t="s">
        <v>2833</v>
      </c>
      <c r="Q694" s="327" t="str">
        <f>IFERROR(VLOOKUP(ROWS($Q$3:Q694),$M$3:$N$992,2,0),"")</f>
        <v>Maloobchod s hodinami, hodinkami a klenoty</v>
      </c>
      <c r="R694">
        <f>IF(ISNUMBER(SEARCH('1Př1'!$A$32,N694)),MAX($M$2:M693)+1,0)</f>
        <v>692</v>
      </c>
      <c r="S694" s="325" t="s">
        <v>2832</v>
      </c>
      <c r="T694" t="str">
        <f>IFERROR(VLOOKUP(ROWS($T$3:T694),$R$3:$S$992,2,0),"")</f>
        <v>Maloobchod s hodinami, hodinkami a klenoty</v>
      </c>
      <c r="U694">
        <f>IF(ISNUMBER(SEARCH('1Př1'!$A$33,N694)),MAX($M$2:M693)+1,0)</f>
        <v>692</v>
      </c>
      <c r="V694" s="325" t="s">
        <v>2832</v>
      </c>
      <c r="W694" t="str">
        <f>IFERROR(VLOOKUP(ROWS($W$3:W694),$U$3:$V$992,2,0),"")</f>
        <v>Maloobchod s hodinami, hodinkami a klenoty</v>
      </c>
      <c r="X694">
        <f>IF(ISNUMBER(SEARCH('1Př1'!$A$34,N694)),MAX($M$2:M693)+1,0)</f>
        <v>692</v>
      </c>
      <c r="Y694" s="325" t="s">
        <v>2832</v>
      </c>
      <c r="Z694" t="str">
        <f>IFERROR(VLOOKUP(ROWS($Z$3:Z694),$X$3:$Y$992,2,0),"")</f>
        <v>Maloobchod s hodinami, hodinkami a klenoty</v>
      </c>
    </row>
    <row r="695" spans="13:26">
      <c r="M695" s="324">
        <f>IF(ISNUMBER(SEARCH(ZAKL_DATA!$B$29,N695)),MAX($M$2:M694)+1,0)</f>
        <v>693</v>
      </c>
      <c r="N695" s="325" t="s">
        <v>2834</v>
      </c>
      <c r="O695" s="340" t="s">
        <v>2835</v>
      </c>
      <c r="Q695" s="327" t="str">
        <f>IFERROR(VLOOKUP(ROWS($Q$3:Q695),$M$3:$N$992,2,0),"")</f>
        <v>Ostatní maloobchod s novým zbožím ve specializovaných prodejnách</v>
      </c>
      <c r="R695">
        <f>IF(ISNUMBER(SEARCH('1Př1'!$A$32,N695)),MAX($M$2:M694)+1,0)</f>
        <v>693</v>
      </c>
      <c r="S695" s="325" t="s">
        <v>2834</v>
      </c>
      <c r="T695" t="str">
        <f>IFERROR(VLOOKUP(ROWS($T$3:T695),$R$3:$S$992,2,0),"")</f>
        <v>Ostatní maloobchod s novým zbožím ve specializovaných prodejnách</v>
      </c>
      <c r="U695">
        <f>IF(ISNUMBER(SEARCH('1Př1'!$A$33,N695)),MAX($M$2:M694)+1,0)</f>
        <v>693</v>
      </c>
      <c r="V695" s="325" t="s">
        <v>2834</v>
      </c>
      <c r="W695" t="str">
        <f>IFERROR(VLOOKUP(ROWS($W$3:W695),$U$3:$V$992,2,0),"")</f>
        <v>Ostatní maloobchod s novým zbožím ve specializovaných prodejnách</v>
      </c>
      <c r="X695">
        <f>IF(ISNUMBER(SEARCH('1Př1'!$A$34,N695)),MAX($M$2:M694)+1,0)</f>
        <v>693</v>
      </c>
      <c r="Y695" s="325" t="s">
        <v>2834</v>
      </c>
      <c r="Z695" t="str">
        <f>IFERROR(VLOOKUP(ROWS($Z$3:Z695),$X$3:$Y$992,2,0),"")</f>
        <v>Ostatní maloobchod s novým zbožím ve specializovaných prodejnách</v>
      </c>
    </row>
    <row r="696" spans="13:26">
      <c r="M696" s="324">
        <f>IF(ISNUMBER(SEARCH(ZAKL_DATA!$B$29,N696)),MAX($M$2:M695)+1,0)</f>
        <v>694</v>
      </c>
      <c r="N696" s="325" t="s">
        <v>2836</v>
      </c>
      <c r="O696" s="340" t="s">
        <v>2837</v>
      </c>
      <c r="Q696" s="327" t="str">
        <f>IFERROR(VLOOKUP(ROWS($Q$3:Q696),$M$3:$N$992,2,0),"")</f>
        <v>Maloobchod s použitým zbožím v prodejnách</v>
      </c>
      <c r="R696">
        <f>IF(ISNUMBER(SEARCH('1Př1'!$A$32,N696)),MAX($M$2:M695)+1,0)</f>
        <v>694</v>
      </c>
      <c r="S696" s="325" t="s">
        <v>2836</v>
      </c>
      <c r="T696" t="str">
        <f>IFERROR(VLOOKUP(ROWS($T$3:T696),$R$3:$S$992,2,0),"")</f>
        <v>Maloobchod s použitým zbožím v prodejnách</v>
      </c>
      <c r="U696">
        <f>IF(ISNUMBER(SEARCH('1Př1'!$A$33,N696)),MAX($M$2:M695)+1,0)</f>
        <v>694</v>
      </c>
      <c r="V696" s="325" t="s">
        <v>2836</v>
      </c>
      <c r="W696" t="str">
        <f>IFERROR(VLOOKUP(ROWS($W$3:W696),$U$3:$V$992,2,0),"")</f>
        <v>Maloobchod s použitým zbožím v prodejnách</v>
      </c>
      <c r="X696">
        <f>IF(ISNUMBER(SEARCH('1Př1'!$A$34,N696)),MAX($M$2:M695)+1,0)</f>
        <v>694</v>
      </c>
      <c r="Y696" s="325" t="s">
        <v>2836</v>
      </c>
      <c r="Z696" t="str">
        <f>IFERROR(VLOOKUP(ROWS($Z$3:Z696),$X$3:$Y$992,2,0),"")</f>
        <v>Maloobchod s použitým zbožím v prodejnách</v>
      </c>
    </row>
    <row r="697" spans="13:26">
      <c r="M697" s="324">
        <f>IF(ISNUMBER(SEARCH(ZAKL_DATA!$B$29,N697)),MAX($M$2:M696)+1,0)</f>
        <v>695</v>
      </c>
      <c r="N697" s="325" t="s">
        <v>2838</v>
      </c>
      <c r="O697" s="340" t="s">
        <v>2839</v>
      </c>
      <c r="Q697" s="327" t="str">
        <f>IFERROR(VLOOKUP(ROWS($Q$3:Q697),$M$3:$N$992,2,0),"")</f>
        <v>Maloobchod s potravinami,nápoji a tabák.výrobky ve stáncích a na trzích</v>
      </c>
      <c r="R697">
        <f>IF(ISNUMBER(SEARCH('1Př1'!$A$32,N697)),MAX($M$2:M696)+1,0)</f>
        <v>695</v>
      </c>
      <c r="S697" s="325" t="s">
        <v>2838</v>
      </c>
      <c r="T697" t="str">
        <f>IFERROR(VLOOKUP(ROWS($T$3:T697),$R$3:$S$992,2,0),"")</f>
        <v>Maloobchod s potravinami,nápoji a tabák.výrobky ve stáncích a na trzích</v>
      </c>
      <c r="U697">
        <f>IF(ISNUMBER(SEARCH('1Př1'!$A$33,N697)),MAX($M$2:M696)+1,0)</f>
        <v>695</v>
      </c>
      <c r="V697" s="325" t="s">
        <v>2838</v>
      </c>
      <c r="W697" t="str">
        <f>IFERROR(VLOOKUP(ROWS($W$3:W697),$U$3:$V$992,2,0),"")</f>
        <v>Maloobchod s potravinami,nápoji a tabák.výrobky ve stáncích a na trzích</v>
      </c>
      <c r="X697">
        <f>IF(ISNUMBER(SEARCH('1Př1'!$A$34,N697)),MAX($M$2:M696)+1,0)</f>
        <v>695</v>
      </c>
      <c r="Y697" s="325" t="s">
        <v>2838</v>
      </c>
      <c r="Z697" t="str">
        <f>IFERROR(VLOOKUP(ROWS($Z$3:Z697),$X$3:$Y$992,2,0),"")</f>
        <v>Maloobchod s potravinami,nápoji a tabák.výrobky ve stáncích a na trzích</v>
      </c>
    </row>
    <row r="698" spans="13:26">
      <c r="M698" s="324">
        <f>IF(ISNUMBER(SEARCH(ZAKL_DATA!$B$29,N698)),MAX($M$2:M697)+1,0)</f>
        <v>696</v>
      </c>
      <c r="N698" s="325" t="s">
        <v>2840</v>
      </c>
      <c r="O698" s="340" t="s">
        <v>2841</v>
      </c>
      <c r="Q698" s="327" t="str">
        <f>IFERROR(VLOOKUP(ROWS($Q$3:Q698),$M$3:$N$992,2,0),"")</f>
        <v>Maloobchod s textilem, oděvy a obuví ve stáncích a na trzích</v>
      </c>
      <c r="R698">
        <f>IF(ISNUMBER(SEARCH('1Př1'!$A$32,N698)),MAX($M$2:M697)+1,0)</f>
        <v>696</v>
      </c>
      <c r="S698" s="325" t="s">
        <v>2840</v>
      </c>
      <c r="T698" t="str">
        <f>IFERROR(VLOOKUP(ROWS($T$3:T698),$R$3:$S$992,2,0),"")</f>
        <v>Maloobchod s textilem, oděvy a obuví ve stáncích a na trzích</v>
      </c>
      <c r="U698">
        <f>IF(ISNUMBER(SEARCH('1Př1'!$A$33,N698)),MAX($M$2:M697)+1,0)</f>
        <v>696</v>
      </c>
      <c r="V698" s="325" t="s">
        <v>2840</v>
      </c>
      <c r="W698" t="str">
        <f>IFERROR(VLOOKUP(ROWS($W$3:W698),$U$3:$V$992,2,0),"")</f>
        <v>Maloobchod s textilem, oděvy a obuví ve stáncích a na trzích</v>
      </c>
      <c r="X698">
        <f>IF(ISNUMBER(SEARCH('1Př1'!$A$34,N698)),MAX($M$2:M697)+1,0)</f>
        <v>696</v>
      </c>
      <c r="Y698" s="325" t="s">
        <v>2840</v>
      </c>
      <c r="Z698" t="str">
        <f>IFERROR(VLOOKUP(ROWS($Z$3:Z698),$X$3:$Y$992,2,0),"")</f>
        <v>Maloobchod s textilem, oděvy a obuví ve stáncích a na trzích</v>
      </c>
    </row>
    <row r="699" spans="13:26">
      <c r="M699" s="324">
        <f>IF(ISNUMBER(SEARCH(ZAKL_DATA!$B$29,N699)),MAX($M$2:M698)+1,0)</f>
        <v>697</v>
      </c>
      <c r="N699" s="325" t="s">
        <v>2842</v>
      </c>
      <c r="O699" s="340" t="s">
        <v>2843</v>
      </c>
      <c r="Q699" s="327" t="str">
        <f>IFERROR(VLOOKUP(ROWS($Q$3:Q699),$M$3:$N$992,2,0),"")</f>
        <v>Maloobchod s ostatním zbožím ve stáncích a na trzích</v>
      </c>
      <c r="R699">
        <f>IF(ISNUMBER(SEARCH('1Př1'!$A$32,N699)),MAX($M$2:M698)+1,0)</f>
        <v>697</v>
      </c>
      <c r="S699" s="325" t="s">
        <v>2842</v>
      </c>
      <c r="T699" t="str">
        <f>IFERROR(VLOOKUP(ROWS($T$3:T699),$R$3:$S$992,2,0),"")</f>
        <v>Maloobchod s ostatním zbožím ve stáncích a na trzích</v>
      </c>
      <c r="U699">
        <f>IF(ISNUMBER(SEARCH('1Př1'!$A$33,N699)),MAX($M$2:M698)+1,0)</f>
        <v>697</v>
      </c>
      <c r="V699" s="325" t="s">
        <v>2842</v>
      </c>
      <c r="W699" t="str">
        <f>IFERROR(VLOOKUP(ROWS($W$3:W699),$U$3:$V$992,2,0),"")</f>
        <v>Maloobchod s ostatním zbožím ve stáncích a na trzích</v>
      </c>
      <c r="X699">
        <f>IF(ISNUMBER(SEARCH('1Př1'!$A$34,N699)),MAX($M$2:M698)+1,0)</f>
        <v>697</v>
      </c>
      <c r="Y699" s="325" t="s">
        <v>2842</v>
      </c>
      <c r="Z699" t="str">
        <f>IFERROR(VLOOKUP(ROWS($Z$3:Z699),$X$3:$Y$992,2,0),"")</f>
        <v>Maloobchod s ostatním zbožím ve stáncích a na trzích</v>
      </c>
    </row>
    <row r="700" spans="13:26">
      <c r="M700" s="324">
        <f>IF(ISNUMBER(SEARCH(ZAKL_DATA!$B$29,N700)),MAX($M$2:M699)+1,0)</f>
        <v>698</v>
      </c>
      <c r="N700" s="325" t="s">
        <v>2844</v>
      </c>
      <c r="O700" s="340" t="s">
        <v>2845</v>
      </c>
      <c r="Q700" s="327" t="str">
        <f>IFERROR(VLOOKUP(ROWS($Q$3:Q700),$M$3:$N$992,2,0),"")</f>
        <v>Maloobchod prostřednictvím internetu nebo zásilkové služby</v>
      </c>
      <c r="R700">
        <f>IF(ISNUMBER(SEARCH('1Př1'!$A$32,N700)),MAX($M$2:M699)+1,0)</f>
        <v>698</v>
      </c>
      <c r="S700" s="325" t="s">
        <v>2844</v>
      </c>
      <c r="T700" t="str">
        <f>IFERROR(VLOOKUP(ROWS($T$3:T700),$R$3:$S$992,2,0),"")</f>
        <v>Maloobchod prostřednictvím internetu nebo zásilkové služby</v>
      </c>
      <c r="U700">
        <f>IF(ISNUMBER(SEARCH('1Př1'!$A$33,N700)),MAX($M$2:M699)+1,0)</f>
        <v>698</v>
      </c>
      <c r="V700" s="325" t="s">
        <v>2844</v>
      </c>
      <c r="W700" t="str">
        <f>IFERROR(VLOOKUP(ROWS($W$3:W700),$U$3:$V$992,2,0),"")</f>
        <v>Maloobchod prostřednictvím internetu nebo zásilkové služby</v>
      </c>
      <c r="X700">
        <f>IF(ISNUMBER(SEARCH('1Př1'!$A$34,N700)),MAX($M$2:M699)+1,0)</f>
        <v>698</v>
      </c>
      <c r="Y700" s="325" t="s">
        <v>2844</v>
      </c>
      <c r="Z700" t="str">
        <f>IFERROR(VLOOKUP(ROWS($Z$3:Z700),$X$3:$Y$992,2,0),"")</f>
        <v>Maloobchod prostřednictvím internetu nebo zásilkové služby</v>
      </c>
    </row>
    <row r="701" spans="13:26">
      <c r="M701" s="324">
        <f>IF(ISNUMBER(SEARCH(ZAKL_DATA!$B$29,N701)),MAX($M$2:M700)+1,0)</f>
        <v>699</v>
      </c>
      <c r="N701" s="325" t="s">
        <v>2846</v>
      </c>
      <c r="O701" s="340" t="s">
        <v>2847</v>
      </c>
      <c r="Q701" s="327" t="str">
        <f>IFERROR(VLOOKUP(ROWS($Q$3:Q701),$M$3:$N$992,2,0),"")</f>
        <v>Ostatní maloobchod mimo prodejny, stánky a trhy</v>
      </c>
      <c r="R701">
        <f>IF(ISNUMBER(SEARCH('1Př1'!$A$32,N701)),MAX($M$2:M700)+1,0)</f>
        <v>699</v>
      </c>
      <c r="S701" s="325" t="s">
        <v>2846</v>
      </c>
      <c r="T701" t="str">
        <f>IFERROR(VLOOKUP(ROWS($T$3:T701),$R$3:$S$992,2,0),"")</f>
        <v>Ostatní maloobchod mimo prodejny, stánky a trhy</v>
      </c>
      <c r="U701">
        <f>IF(ISNUMBER(SEARCH('1Př1'!$A$33,N701)),MAX($M$2:M700)+1,0)</f>
        <v>699</v>
      </c>
      <c r="V701" s="325" t="s">
        <v>2846</v>
      </c>
      <c r="W701" t="str">
        <f>IFERROR(VLOOKUP(ROWS($W$3:W701),$U$3:$V$992,2,0),"")</f>
        <v>Ostatní maloobchod mimo prodejny, stánky a trhy</v>
      </c>
      <c r="X701">
        <f>IF(ISNUMBER(SEARCH('1Př1'!$A$34,N701)),MAX($M$2:M700)+1,0)</f>
        <v>699</v>
      </c>
      <c r="Y701" s="325" t="s">
        <v>2846</v>
      </c>
      <c r="Z701" t="str">
        <f>IFERROR(VLOOKUP(ROWS($Z$3:Z701),$X$3:$Y$992,2,0),"")</f>
        <v>Ostatní maloobchod mimo prodejny, stánky a trhy</v>
      </c>
    </row>
    <row r="702" spans="13:26">
      <c r="M702" s="324">
        <f>IF(ISNUMBER(SEARCH(ZAKL_DATA!$B$29,N702)),MAX($M$2:M701)+1,0)</f>
        <v>700</v>
      </c>
      <c r="N702" s="325" t="s">
        <v>2848</v>
      </c>
      <c r="O702" s="340" t="s">
        <v>2849</v>
      </c>
      <c r="Q702" s="327" t="str">
        <f>IFERROR(VLOOKUP(ROWS($Q$3:Q702),$M$3:$N$992,2,0),"")</f>
        <v>Městská a příměstská pozemní osobní doprava</v>
      </c>
      <c r="R702">
        <f>IF(ISNUMBER(SEARCH('1Př1'!$A$32,N702)),MAX($M$2:M701)+1,0)</f>
        <v>700</v>
      </c>
      <c r="S702" s="325" t="s">
        <v>2848</v>
      </c>
      <c r="T702" t="str">
        <f>IFERROR(VLOOKUP(ROWS($T$3:T702),$R$3:$S$992,2,0),"")</f>
        <v>Městská a příměstská pozemní osobní doprava</v>
      </c>
      <c r="U702">
        <f>IF(ISNUMBER(SEARCH('1Př1'!$A$33,N702)),MAX($M$2:M701)+1,0)</f>
        <v>700</v>
      </c>
      <c r="V702" s="325" t="s">
        <v>2848</v>
      </c>
      <c r="W702" t="str">
        <f>IFERROR(VLOOKUP(ROWS($W$3:W702),$U$3:$V$992,2,0),"")</f>
        <v>Městská a příměstská pozemní osobní doprava</v>
      </c>
      <c r="X702">
        <f>IF(ISNUMBER(SEARCH('1Př1'!$A$34,N702)),MAX($M$2:M701)+1,0)</f>
        <v>700</v>
      </c>
      <c r="Y702" s="325" t="s">
        <v>2848</v>
      </c>
      <c r="Z702" t="str">
        <f>IFERROR(VLOOKUP(ROWS($Z$3:Z702),$X$3:$Y$992,2,0),"")</f>
        <v>Městská a příměstská pozemní osobní doprava</v>
      </c>
    </row>
    <row r="703" spans="13:26">
      <c r="M703" s="324">
        <f>IF(ISNUMBER(SEARCH(ZAKL_DATA!$B$29,N703)),MAX($M$2:M702)+1,0)</f>
        <v>701</v>
      </c>
      <c r="N703" s="325" t="s">
        <v>2850</v>
      </c>
      <c r="O703" s="340" t="s">
        <v>2851</v>
      </c>
      <c r="Q703" s="327" t="str">
        <f>IFERROR(VLOOKUP(ROWS($Q$3:Q703),$M$3:$N$992,2,0),"")</f>
        <v>Taxislužba a pronájem osobních vozů s řidičem</v>
      </c>
      <c r="R703">
        <f>IF(ISNUMBER(SEARCH('1Př1'!$A$32,N703)),MAX($M$2:M702)+1,0)</f>
        <v>701</v>
      </c>
      <c r="S703" s="325" t="s">
        <v>2850</v>
      </c>
      <c r="T703" t="str">
        <f>IFERROR(VLOOKUP(ROWS($T$3:T703),$R$3:$S$992,2,0),"")</f>
        <v>Taxislužba a pronájem osobních vozů s řidičem</v>
      </c>
      <c r="U703">
        <f>IF(ISNUMBER(SEARCH('1Př1'!$A$33,N703)),MAX($M$2:M702)+1,0)</f>
        <v>701</v>
      </c>
      <c r="V703" s="325" t="s">
        <v>2850</v>
      </c>
      <c r="W703" t="str">
        <f>IFERROR(VLOOKUP(ROWS($W$3:W703),$U$3:$V$992,2,0),"")</f>
        <v>Taxislužba a pronájem osobních vozů s řidičem</v>
      </c>
      <c r="X703">
        <f>IF(ISNUMBER(SEARCH('1Př1'!$A$34,N703)),MAX($M$2:M702)+1,0)</f>
        <v>701</v>
      </c>
      <c r="Y703" s="325" t="s">
        <v>2850</v>
      </c>
      <c r="Z703" t="str">
        <f>IFERROR(VLOOKUP(ROWS($Z$3:Z703),$X$3:$Y$992,2,0),"")</f>
        <v>Taxislužba a pronájem osobních vozů s řidičem</v>
      </c>
    </row>
    <row r="704" spans="13:26">
      <c r="M704" s="324">
        <f>IF(ISNUMBER(SEARCH(ZAKL_DATA!$B$29,N704)),MAX($M$2:M703)+1,0)</f>
        <v>702</v>
      </c>
      <c r="N704" s="325" t="s">
        <v>2852</v>
      </c>
      <c r="O704" s="340" t="s">
        <v>2853</v>
      </c>
      <c r="Q704" s="327" t="str">
        <f>IFERROR(VLOOKUP(ROWS($Q$3:Q704),$M$3:$N$992,2,0),"")</f>
        <v>Ostatní pozemní osobní doprava j. n.</v>
      </c>
      <c r="R704">
        <f>IF(ISNUMBER(SEARCH('1Př1'!$A$32,N704)),MAX($M$2:M703)+1,0)</f>
        <v>702</v>
      </c>
      <c r="S704" s="325" t="s">
        <v>2852</v>
      </c>
      <c r="T704" t="str">
        <f>IFERROR(VLOOKUP(ROWS($T$3:T704),$R$3:$S$992,2,0),"")</f>
        <v>Ostatní pozemní osobní doprava j. n.</v>
      </c>
      <c r="U704">
        <f>IF(ISNUMBER(SEARCH('1Př1'!$A$33,N704)),MAX($M$2:M703)+1,0)</f>
        <v>702</v>
      </c>
      <c r="V704" s="325" t="s">
        <v>2852</v>
      </c>
      <c r="W704" t="str">
        <f>IFERROR(VLOOKUP(ROWS($W$3:W704),$U$3:$V$992,2,0),"")</f>
        <v>Ostatní pozemní osobní doprava j. n.</v>
      </c>
      <c r="X704">
        <f>IF(ISNUMBER(SEARCH('1Př1'!$A$34,N704)),MAX($M$2:M703)+1,0)</f>
        <v>702</v>
      </c>
      <c r="Y704" s="325" t="s">
        <v>2852</v>
      </c>
      <c r="Z704" t="str">
        <f>IFERROR(VLOOKUP(ROWS($Z$3:Z704),$X$3:$Y$992,2,0),"")</f>
        <v>Ostatní pozemní osobní doprava j. n.</v>
      </c>
    </row>
    <row r="705" spans="13:26">
      <c r="M705" s="324">
        <f>IF(ISNUMBER(SEARCH(ZAKL_DATA!$B$29,N705)),MAX($M$2:M704)+1,0)</f>
        <v>703</v>
      </c>
      <c r="N705" s="325" t="s">
        <v>2854</v>
      </c>
      <c r="O705" s="340" t="s">
        <v>2855</v>
      </c>
      <c r="Q705" s="327" t="str">
        <f>IFERROR(VLOOKUP(ROWS($Q$3:Q705),$M$3:$N$992,2,0),"")</f>
        <v>Silniční nákladní doprava</v>
      </c>
      <c r="R705">
        <f>IF(ISNUMBER(SEARCH('1Př1'!$A$32,N705)),MAX($M$2:M704)+1,0)</f>
        <v>703</v>
      </c>
      <c r="S705" s="325" t="s">
        <v>2854</v>
      </c>
      <c r="T705" t="str">
        <f>IFERROR(VLOOKUP(ROWS($T$3:T705),$R$3:$S$992,2,0),"")</f>
        <v>Silniční nákladní doprava</v>
      </c>
      <c r="U705">
        <f>IF(ISNUMBER(SEARCH('1Př1'!$A$33,N705)),MAX($M$2:M704)+1,0)</f>
        <v>703</v>
      </c>
      <c r="V705" s="325" t="s">
        <v>2854</v>
      </c>
      <c r="W705" t="str">
        <f>IFERROR(VLOOKUP(ROWS($W$3:W705),$U$3:$V$992,2,0),"")</f>
        <v>Silniční nákladní doprava</v>
      </c>
      <c r="X705">
        <f>IF(ISNUMBER(SEARCH('1Př1'!$A$34,N705)),MAX($M$2:M704)+1,0)</f>
        <v>703</v>
      </c>
      <c r="Y705" s="325" t="s">
        <v>2854</v>
      </c>
      <c r="Z705" t="str">
        <f>IFERROR(VLOOKUP(ROWS($Z$3:Z705),$X$3:$Y$992,2,0),"")</f>
        <v>Silniční nákladní doprava</v>
      </c>
    </row>
    <row r="706" spans="13:26">
      <c r="M706" s="324">
        <f>IF(ISNUMBER(SEARCH(ZAKL_DATA!$B$29,N706)),MAX($M$2:M705)+1,0)</f>
        <v>704</v>
      </c>
      <c r="N706" s="325" t="s">
        <v>2856</v>
      </c>
      <c r="O706" s="340" t="s">
        <v>2857</v>
      </c>
      <c r="Q706" s="327" t="str">
        <f>IFERROR(VLOOKUP(ROWS($Q$3:Q706),$M$3:$N$992,2,0),"")</f>
        <v>Stěhovací služby</v>
      </c>
      <c r="R706">
        <f>IF(ISNUMBER(SEARCH('1Př1'!$A$32,N706)),MAX($M$2:M705)+1,0)</f>
        <v>704</v>
      </c>
      <c r="S706" s="325" t="s">
        <v>2856</v>
      </c>
      <c r="T706" t="str">
        <f>IFERROR(VLOOKUP(ROWS($T$3:T706),$R$3:$S$992,2,0),"")</f>
        <v>Stěhovací služby</v>
      </c>
      <c r="U706">
        <f>IF(ISNUMBER(SEARCH('1Př1'!$A$33,N706)),MAX($M$2:M705)+1,0)</f>
        <v>704</v>
      </c>
      <c r="V706" s="325" t="s">
        <v>2856</v>
      </c>
      <c r="W706" t="str">
        <f>IFERROR(VLOOKUP(ROWS($W$3:W706),$U$3:$V$992,2,0),"")</f>
        <v>Stěhovací služby</v>
      </c>
      <c r="X706">
        <f>IF(ISNUMBER(SEARCH('1Př1'!$A$34,N706)),MAX($M$2:M705)+1,0)</f>
        <v>704</v>
      </c>
      <c r="Y706" s="325" t="s">
        <v>2856</v>
      </c>
      <c r="Z706" t="str">
        <f>IFERROR(VLOOKUP(ROWS($Z$3:Z706),$X$3:$Y$992,2,0),"")</f>
        <v>Stěhovací služby</v>
      </c>
    </row>
    <row r="707" spans="13:26">
      <c r="M707" s="324">
        <f>IF(ISNUMBER(SEARCH(ZAKL_DATA!$B$29,N707)),MAX($M$2:M706)+1,0)</f>
        <v>705</v>
      </c>
      <c r="N707" s="325" t="s">
        <v>2858</v>
      </c>
      <c r="O707" s="340" t="s">
        <v>2859</v>
      </c>
      <c r="Q707" s="327" t="str">
        <f>IFERROR(VLOOKUP(ROWS($Q$3:Q707),$M$3:$N$992,2,0),"")</f>
        <v>Těžba černého uhlí</v>
      </c>
      <c r="R707">
        <f>IF(ISNUMBER(SEARCH('1Př1'!$A$32,N707)),MAX($M$2:M706)+1,0)</f>
        <v>705</v>
      </c>
      <c r="S707" s="325" t="s">
        <v>2858</v>
      </c>
      <c r="T707" t="str">
        <f>IFERROR(VLOOKUP(ROWS($T$3:T707),$R$3:$S$992,2,0),"")</f>
        <v>Těžba černého uhlí</v>
      </c>
      <c r="U707">
        <f>IF(ISNUMBER(SEARCH('1Př1'!$A$33,N707)),MAX($M$2:M706)+1,0)</f>
        <v>705</v>
      </c>
      <c r="V707" s="325" t="s">
        <v>2858</v>
      </c>
      <c r="W707" t="str">
        <f>IFERROR(VLOOKUP(ROWS($W$3:W707),$U$3:$V$992,2,0),"")</f>
        <v>Těžba černého uhlí</v>
      </c>
      <c r="X707">
        <f>IF(ISNUMBER(SEARCH('1Př1'!$A$34,N707)),MAX($M$2:M706)+1,0)</f>
        <v>705</v>
      </c>
      <c r="Y707" s="325" t="s">
        <v>2858</v>
      </c>
      <c r="Z707" t="str">
        <f>IFERROR(VLOOKUP(ROWS($Z$3:Z707),$X$3:$Y$992,2,0),"")</f>
        <v>Těžba černého uhlí</v>
      </c>
    </row>
    <row r="708" spans="13:26">
      <c r="M708" s="324">
        <f>IF(ISNUMBER(SEARCH(ZAKL_DATA!$B$29,N708)),MAX($M$2:M707)+1,0)</f>
        <v>706</v>
      </c>
      <c r="N708" s="325" t="s">
        <v>2860</v>
      </c>
      <c r="O708" s="340" t="s">
        <v>2861</v>
      </c>
      <c r="Q708" s="327" t="str">
        <f>IFERROR(VLOOKUP(ROWS($Q$3:Q708),$M$3:$N$992,2,0),"")</f>
        <v>Úprava černého uhlí</v>
      </c>
      <c r="R708">
        <f>IF(ISNUMBER(SEARCH('1Př1'!$A$32,N708)),MAX($M$2:M707)+1,0)</f>
        <v>706</v>
      </c>
      <c r="S708" s="325" t="s">
        <v>2860</v>
      </c>
      <c r="T708" t="str">
        <f>IFERROR(VLOOKUP(ROWS($T$3:T708),$R$3:$S$992,2,0),"")</f>
        <v>Úprava černého uhlí</v>
      </c>
      <c r="U708">
        <f>IF(ISNUMBER(SEARCH('1Př1'!$A$33,N708)),MAX($M$2:M707)+1,0)</f>
        <v>706</v>
      </c>
      <c r="V708" s="325" t="s">
        <v>2860</v>
      </c>
      <c r="W708" t="str">
        <f>IFERROR(VLOOKUP(ROWS($W$3:W708),$U$3:$V$992,2,0),"")</f>
        <v>Úprava černého uhlí</v>
      </c>
      <c r="X708">
        <f>IF(ISNUMBER(SEARCH('1Př1'!$A$34,N708)),MAX($M$2:M707)+1,0)</f>
        <v>706</v>
      </c>
      <c r="Y708" s="325" t="s">
        <v>2860</v>
      </c>
      <c r="Z708" t="str">
        <f>IFERROR(VLOOKUP(ROWS($Z$3:Z708),$X$3:$Y$992,2,0),"")</f>
        <v>Úprava černého uhlí</v>
      </c>
    </row>
    <row r="709" spans="13:26">
      <c r="M709" s="324">
        <f>IF(ISNUMBER(SEARCH(ZAKL_DATA!$B$29,N709)),MAX($M$2:M708)+1,0)</f>
        <v>707</v>
      </c>
      <c r="N709" s="325" t="s">
        <v>2862</v>
      </c>
      <c r="O709" s="340" t="s">
        <v>2863</v>
      </c>
      <c r="Q709" s="327" t="str">
        <f>IFERROR(VLOOKUP(ROWS($Q$3:Q709),$M$3:$N$992,2,0),"")</f>
        <v>Letecká nákladní doprava</v>
      </c>
      <c r="R709">
        <f>IF(ISNUMBER(SEARCH('1Př1'!$A$32,N709)),MAX($M$2:M708)+1,0)</f>
        <v>707</v>
      </c>
      <c r="S709" s="325" t="s">
        <v>2862</v>
      </c>
      <c r="T709" t="str">
        <f>IFERROR(VLOOKUP(ROWS($T$3:T709),$R$3:$S$992,2,0),"")</f>
        <v>Letecká nákladní doprava</v>
      </c>
      <c r="U709">
        <f>IF(ISNUMBER(SEARCH('1Př1'!$A$33,N709)),MAX($M$2:M708)+1,0)</f>
        <v>707</v>
      </c>
      <c r="V709" s="325" t="s">
        <v>2862</v>
      </c>
      <c r="W709" t="str">
        <f>IFERROR(VLOOKUP(ROWS($W$3:W709),$U$3:$V$992,2,0),"")</f>
        <v>Letecká nákladní doprava</v>
      </c>
      <c r="X709">
        <f>IF(ISNUMBER(SEARCH('1Př1'!$A$34,N709)),MAX($M$2:M708)+1,0)</f>
        <v>707</v>
      </c>
      <c r="Y709" s="325" t="s">
        <v>2862</v>
      </c>
      <c r="Z709" t="str">
        <f>IFERROR(VLOOKUP(ROWS($Z$3:Z709),$X$3:$Y$992,2,0),"")</f>
        <v>Letecká nákladní doprava</v>
      </c>
    </row>
    <row r="710" spans="13:26">
      <c r="M710" s="324">
        <f>IF(ISNUMBER(SEARCH(ZAKL_DATA!$B$29,N710)),MAX($M$2:M709)+1,0)</f>
        <v>708</v>
      </c>
      <c r="N710" s="325" t="s">
        <v>2864</v>
      </c>
      <c r="O710" s="340" t="s">
        <v>2865</v>
      </c>
      <c r="Q710" s="327" t="str">
        <f>IFERROR(VLOOKUP(ROWS($Q$3:Q710),$M$3:$N$992,2,0),"")</f>
        <v>Kosmická doprava</v>
      </c>
      <c r="R710">
        <f>IF(ISNUMBER(SEARCH('1Př1'!$A$32,N710)),MAX($M$2:M709)+1,0)</f>
        <v>708</v>
      </c>
      <c r="S710" s="325" t="s">
        <v>2864</v>
      </c>
      <c r="T710" t="str">
        <f>IFERROR(VLOOKUP(ROWS($T$3:T710),$R$3:$S$992,2,0),"")</f>
        <v>Kosmická doprava</v>
      </c>
      <c r="U710">
        <f>IF(ISNUMBER(SEARCH('1Př1'!$A$33,N710)),MAX($M$2:M709)+1,0)</f>
        <v>708</v>
      </c>
      <c r="V710" s="325" t="s">
        <v>2864</v>
      </c>
      <c r="W710" t="str">
        <f>IFERROR(VLOOKUP(ROWS($W$3:W710),$U$3:$V$992,2,0),"")</f>
        <v>Kosmická doprava</v>
      </c>
      <c r="X710">
        <f>IF(ISNUMBER(SEARCH('1Př1'!$A$34,N710)),MAX($M$2:M709)+1,0)</f>
        <v>708</v>
      </c>
      <c r="Y710" s="325" t="s">
        <v>2864</v>
      </c>
      <c r="Z710" t="str">
        <f>IFERROR(VLOOKUP(ROWS($Z$3:Z710),$X$3:$Y$992,2,0),"")</f>
        <v>Kosmická doprava</v>
      </c>
    </row>
    <row r="711" spans="13:26">
      <c r="M711" s="324">
        <f>IF(ISNUMBER(SEARCH(ZAKL_DATA!$B$29,N711)),MAX($M$2:M710)+1,0)</f>
        <v>709</v>
      </c>
      <c r="N711" s="325" t="s">
        <v>2866</v>
      </c>
      <c r="O711" s="340" t="s">
        <v>2867</v>
      </c>
      <c r="Q711" s="327" t="str">
        <f>IFERROR(VLOOKUP(ROWS($Q$3:Q711),$M$3:$N$992,2,0),"")</f>
        <v>Těžba hnědého uhlí, kromě lignitu</v>
      </c>
      <c r="R711">
        <f>IF(ISNUMBER(SEARCH('1Př1'!$A$32,N711)),MAX($M$2:M710)+1,0)</f>
        <v>709</v>
      </c>
      <c r="S711" s="325" t="s">
        <v>2866</v>
      </c>
      <c r="T711" t="str">
        <f>IFERROR(VLOOKUP(ROWS($T$3:T711),$R$3:$S$992,2,0),"")</f>
        <v>Těžba hnědého uhlí, kromě lignitu</v>
      </c>
      <c r="U711">
        <f>IF(ISNUMBER(SEARCH('1Př1'!$A$33,N711)),MAX($M$2:M710)+1,0)</f>
        <v>709</v>
      </c>
      <c r="V711" s="325" t="s">
        <v>2866</v>
      </c>
      <c r="W711" t="str">
        <f>IFERROR(VLOOKUP(ROWS($W$3:W711),$U$3:$V$992,2,0),"")</f>
        <v>Těžba hnědého uhlí, kromě lignitu</v>
      </c>
      <c r="X711">
        <f>IF(ISNUMBER(SEARCH('1Př1'!$A$34,N711)),MAX($M$2:M710)+1,0)</f>
        <v>709</v>
      </c>
      <c r="Y711" s="325" t="s">
        <v>2866</v>
      </c>
      <c r="Z711" t="str">
        <f>IFERROR(VLOOKUP(ROWS($Z$3:Z711),$X$3:$Y$992,2,0),"")</f>
        <v>Těžba hnědého uhlí, kromě lignitu</v>
      </c>
    </row>
    <row r="712" spans="13:26">
      <c r="M712" s="324">
        <f>IF(ISNUMBER(SEARCH(ZAKL_DATA!$B$29,N712)),MAX($M$2:M711)+1,0)</f>
        <v>710</v>
      </c>
      <c r="N712" s="325" t="s">
        <v>2868</v>
      </c>
      <c r="O712" s="340" t="s">
        <v>2869</v>
      </c>
      <c r="Q712" s="327" t="str">
        <f>IFERROR(VLOOKUP(ROWS($Q$3:Q712),$M$3:$N$992,2,0),"")</f>
        <v>Úprava hnědého uhlí, kromě lignitu</v>
      </c>
      <c r="R712">
        <f>IF(ISNUMBER(SEARCH('1Př1'!$A$32,N712)),MAX($M$2:M711)+1,0)</f>
        <v>710</v>
      </c>
      <c r="S712" s="325" t="s">
        <v>2868</v>
      </c>
      <c r="T712" t="str">
        <f>IFERROR(VLOOKUP(ROWS($T$3:T712),$R$3:$S$992,2,0),"")</f>
        <v>Úprava hnědého uhlí, kromě lignitu</v>
      </c>
      <c r="U712">
        <f>IF(ISNUMBER(SEARCH('1Př1'!$A$33,N712)),MAX($M$2:M711)+1,0)</f>
        <v>710</v>
      </c>
      <c r="V712" s="325" t="s">
        <v>2868</v>
      </c>
      <c r="W712" t="str">
        <f>IFERROR(VLOOKUP(ROWS($W$3:W712),$U$3:$V$992,2,0),"")</f>
        <v>Úprava hnědého uhlí, kromě lignitu</v>
      </c>
      <c r="X712">
        <f>IF(ISNUMBER(SEARCH('1Př1'!$A$34,N712)),MAX($M$2:M711)+1,0)</f>
        <v>710</v>
      </c>
      <c r="Y712" s="325" t="s">
        <v>2868</v>
      </c>
      <c r="Z712" t="str">
        <f>IFERROR(VLOOKUP(ROWS($Z$3:Z712),$X$3:$Y$992,2,0),"")</f>
        <v>Úprava hnědého uhlí, kromě lignitu</v>
      </c>
    </row>
    <row r="713" spans="13:26">
      <c r="M713" s="324">
        <f>IF(ISNUMBER(SEARCH(ZAKL_DATA!$B$29,N713)),MAX($M$2:M712)+1,0)</f>
        <v>711</v>
      </c>
      <c r="N713" s="325" t="s">
        <v>2870</v>
      </c>
      <c r="O713" s="340" t="s">
        <v>2871</v>
      </c>
      <c r="Q713" s="327" t="str">
        <f>IFERROR(VLOOKUP(ROWS($Q$3:Q713),$M$3:$N$992,2,0),"")</f>
        <v>Těžba lignitu</v>
      </c>
      <c r="R713">
        <f>IF(ISNUMBER(SEARCH('1Př1'!$A$32,N713)),MAX($M$2:M712)+1,0)</f>
        <v>711</v>
      </c>
      <c r="S713" s="325" t="s">
        <v>2870</v>
      </c>
      <c r="T713" t="str">
        <f>IFERROR(VLOOKUP(ROWS($T$3:T713),$R$3:$S$992,2,0),"")</f>
        <v>Těžba lignitu</v>
      </c>
      <c r="U713">
        <f>IF(ISNUMBER(SEARCH('1Př1'!$A$33,N713)),MAX($M$2:M712)+1,0)</f>
        <v>711</v>
      </c>
      <c r="V713" s="325" t="s">
        <v>2870</v>
      </c>
      <c r="W713" t="str">
        <f>IFERROR(VLOOKUP(ROWS($W$3:W713),$U$3:$V$992,2,0),"")</f>
        <v>Těžba lignitu</v>
      </c>
      <c r="X713">
        <f>IF(ISNUMBER(SEARCH('1Př1'!$A$34,N713)),MAX($M$2:M712)+1,0)</f>
        <v>711</v>
      </c>
      <c r="Y713" s="325" t="s">
        <v>2870</v>
      </c>
      <c r="Z713" t="str">
        <f>IFERROR(VLOOKUP(ROWS($Z$3:Z713),$X$3:$Y$992,2,0),"")</f>
        <v>Těžba lignitu</v>
      </c>
    </row>
    <row r="714" spans="13:26">
      <c r="M714" s="324">
        <f>IF(ISNUMBER(SEARCH(ZAKL_DATA!$B$29,N714)),MAX($M$2:M713)+1,0)</f>
        <v>712</v>
      </c>
      <c r="N714" s="325" t="s">
        <v>2872</v>
      </c>
      <c r="O714" s="340" t="s">
        <v>2873</v>
      </c>
      <c r="Q714" s="327" t="str">
        <f>IFERROR(VLOOKUP(ROWS($Q$3:Q714),$M$3:$N$992,2,0),"")</f>
        <v>Úprava lignitu</v>
      </c>
      <c r="R714">
        <f>IF(ISNUMBER(SEARCH('1Př1'!$A$32,N714)),MAX($M$2:M713)+1,0)</f>
        <v>712</v>
      </c>
      <c r="S714" s="325" t="s">
        <v>2872</v>
      </c>
      <c r="T714" t="str">
        <f>IFERROR(VLOOKUP(ROWS($T$3:T714),$R$3:$S$992,2,0),"")</f>
        <v>Úprava lignitu</v>
      </c>
      <c r="U714">
        <f>IF(ISNUMBER(SEARCH('1Př1'!$A$33,N714)),MAX($M$2:M713)+1,0)</f>
        <v>712</v>
      </c>
      <c r="V714" s="325" t="s">
        <v>2872</v>
      </c>
      <c r="W714" t="str">
        <f>IFERROR(VLOOKUP(ROWS($W$3:W714),$U$3:$V$992,2,0),"")</f>
        <v>Úprava lignitu</v>
      </c>
      <c r="X714">
        <f>IF(ISNUMBER(SEARCH('1Př1'!$A$34,N714)),MAX($M$2:M713)+1,0)</f>
        <v>712</v>
      </c>
      <c r="Y714" s="325" t="s">
        <v>2872</v>
      </c>
      <c r="Z714" t="str">
        <f>IFERROR(VLOOKUP(ROWS($Z$3:Z714),$X$3:$Y$992,2,0),"")</f>
        <v>Úprava lignitu</v>
      </c>
    </row>
    <row r="715" spans="13:26">
      <c r="M715" s="324">
        <f>IF(ISNUMBER(SEARCH(ZAKL_DATA!$B$29,N715)),MAX($M$2:M714)+1,0)</f>
        <v>713</v>
      </c>
      <c r="N715" s="325" t="s">
        <v>2874</v>
      </c>
      <c r="O715" s="340" t="s">
        <v>2875</v>
      </c>
      <c r="Q715" s="327" t="str">
        <f>IFERROR(VLOOKUP(ROWS($Q$3:Q715),$M$3:$N$992,2,0),"")</f>
        <v>Činnosti související s pozemní dopravou</v>
      </c>
      <c r="R715">
        <f>IF(ISNUMBER(SEARCH('1Př1'!$A$32,N715)),MAX($M$2:M714)+1,0)</f>
        <v>713</v>
      </c>
      <c r="S715" s="325" t="s">
        <v>2874</v>
      </c>
      <c r="T715" t="str">
        <f>IFERROR(VLOOKUP(ROWS($T$3:T715),$R$3:$S$992,2,0),"")</f>
        <v>Činnosti související s pozemní dopravou</v>
      </c>
      <c r="U715">
        <f>IF(ISNUMBER(SEARCH('1Př1'!$A$33,N715)),MAX($M$2:M714)+1,0)</f>
        <v>713</v>
      </c>
      <c r="V715" s="325" t="s">
        <v>2874</v>
      </c>
      <c r="W715" t="str">
        <f>IFERROR(VLOOKUP(ROWS($W$3:W715),$U$3:$V$992,2,0),"")</f>
        <v>Činnosti související s pozemní dopravou</v>
      </c>
      <c r="X715">
        <f>IF(ISNUMBER(SEARCH('1Př1'!$A$34,N715)),MAX($M$2:M714)+1,0)</f>
        <v>713</v>
      </c>
      <c r="Y715" s="325" t="s">
        <v>2874</v>
      </c>
      <c r="Z715" t="str">
        <f>IFERROR(VLOOKUP(ROWS($Z$3:Z715),$X$3:$Y$992,2,0),"")</f>
        <v>Činnosti související s pozemní dopravou</v>
      </c>
    </row>
    <row r="716" spans="13:26">
      <c r="M716" s="324">
        <f>IF(ISNUMBER(SEARCH(ZAKL_DATA!$B$29,N716)),MAX($M$2:M715)+1,0)</f>
        <v>714</v>
      </c>
      <c r="N716" s="325" t="s">
        <v>2876</v>
      </c>
      <c r="O716" s="340" t="s">
        <v>2877</v>
      </c>
      <c r="Q716" s="327" t="str">
        <f>IFERROR(VLOOKUP(ROWS($Q$3:Q716),$M$3:$N$992,2,0),"")</f>
        <v>Činnosti související s vodní dopravou</v>
      </c>
      <c r="R716">
        <f>IF(ISNUMBER(SEARCH('1Př1'!$A$32,N716)),MAX($M$2:M715)+1,0)</f>
        <v>714</v>
      </c>
      <c r="S716" s="325" t="s">
        <v>2876</v>
      </c>
      <c r="T716" t="str">
        <f>IFERROR(VLOOKUP(ROWS($T$3:T716),$R$3:$S$992,2,0),"")</f>
        <v>Činnosti související s vodní dopravou</v>
      </c>
      <c r="U716">
        <f>IF(ISNUMBER(SEARCH('1Př1'!$A$33,N716)),MAX($M$2:M715)+1,0)</f>
        <v>714</v>
      </c>
      <c r="V716" s="325" t="s">
        <v>2876</v>
      </c>
      <c r="W716" t="str">
        <f>IFERROR(VLOOKUP(ROWS($W$3:W716),$U$3:$V$992,2,0),"")</f>
        <v>Činnosti související s vodní dopravou</v>
      </c>
      <c r="X716">
        <f>IF(ISNUMBER(SEARCH('1Př1'!$A$34,N716)),MAX($M$2:M715)+1,0)</f>
        <v>714</v>
      </c>
      <c r="Y716" s="325" t="s">
        <v>2876</v>
      </c>
      <c r="Z716" t="str">
        <f>IFERROR(VLOOKUP(ROWS($Z$3:Z716),$X$3:$Y$992,2,0),"")</f>
        <v>Činnosti související s vodní dopravou</v>
      </c>
    </row>
    <row r="717" spans="13:26">
      <c r="M717" s="324">
        <f>IF(ISNUMBER(SEARCH(ZAKL_DATA!$B$29,N717)),MAX($M$2:M716)+1,0)</f>
        <v>715</v>
      </c>
      <c r="N717" s="325" t="s">
        <v>2878</v>
      </c>
      <c r="O717" s="340" t="s">
        <v>2879</v>
      </c>
      <c r="Q717" s="327" t="str">
        <f>IFERROR(VLOOKUP(ROWS($Q$3:Q717),$M$3:$N$992,2,0),"")</f>
        <v>Činnosti související s leteckou dopravou</v>
      </c>
      <c r="R717">
        <f>IF(ISNUMBER(SEARCH('1Př1'!$A$32,N717)),MAX($M$2:M716)+1,0)</f>
        <v>715</v>
      </c>
      <c r="S717" s="325" t="s">
        <v>2878</v>
      </c>
      <c r="T717" t="str">
        <f>IFERROR(VLOOKUP(ROWS($T$3:T717),$R$3:$S$992,2,0),"")</f>
        <v>Činnosti související s leteckou dopravou</v>
      </c>
      <c r="U717">
        <f>IF(ISNUMBER(SEARCH('1Př1'!$A$33,N717)),MAX($M$2:M716)+1,0)</f>
        <v>715</v>
      </c>
      <c r="V717" s="325" t="s">
        <v>2878</v>
      </c>
      <c r="W717" t="str">
        <f>IFERROR(VLOOKUP(ROWS($W$3:W717),$U$3:$V$992,2,0),"")</f>
        <v>Činnosti související s leteckou dopravou</v>
      </c>
      <c r="X717">
        <f>IF(ISNUMBER(SEARCH('1Př1'!$A$34,N717)),MAX($M$2:M716)+1,0)</f>
        <v>715</v>
      </c>
      <c r="Y717" s="325" t="s">
        <v>2878</v>
      </c>
      <c r="Z717" t="str">
        <f>IFERROR(VLOOKUP(ROWS($Z$3:Z717),$X$3:$Y$992,2,0),"")</f>
        <v>Činnosti související s leteckou dopravou</v>
      </c>
    </row>
    <row r="718" spans="13:26">
      <c r="M718" s="324">
        <f>IF(ISNUMBER(SEARCH(ZAKL_DATA!$B$29,N718)),MAX($M$2:M717)+1,0)</f>
        <v>716</v>
      </c>
      <c r="N718" s="325" t="s">
        <v>2880</v>
      </c>
      <c r="O718" s="340" t="s">
        <v>2881</v>
      </c>
      <c r="Q718" s="327" t="str">
        <f>IFERROR(VLOOKUP(ROWS($Q$3:Q718),$M$3:$N$992,2,0),"")</f>
        <v>Manipulace s nákladem</v>
      </c>
      <c r="R718">
        <f>IF(ISNUMBER(SEARCH('1Př1'!$A$32,N718)),MAX($M$2:M717)+1,0)</f>
        <v>716</v>
      </c>
      <c r="S718" s="325" t="s">
        <v>2880</v>
      </c>
      <c r="T718" t="str">
        <f>IFERROR(VLOOKUP(ROWS($T$3:T718),$R$3:$S$992,2,0),"")</f>
        <v>Manipulace s nákladem</v>
      </c>
      <c r="U718">
        <f>IF(ISNUMBER(SEARCH('1Př1'!$A$33,N718)),MAX($M$2:M717)+1,0)</f>
        <v>716</v>
      </c>
      <c r="V718" s="325" t="s">
        <v>2880</v>
      </c>
      <c r="W718" t="str">
        <f>IFERROR(VLOOKUP(ROWS($W$3:W718),$U$3:$V$992,2,0),"")</f>
        <v>Manipulace s nákladem</v>
      </c>
      <c r="X718">
        <f>IF(ISNUMBER(SEARCH('1Př1'!$A$34,N718)),MAX($M$2:M717)+1,0)</f>
        <v>716</v>
      </c>
      <c r="Y718" s="325" t="s">
        <v>2880</v>
      </c>
      <c r="Z718" t="str">
        <f>IFERROR(VLOOKUP(ROWS($Z$3:Z718),$X$3:$Y$992,2,0),"")</f>
        <v>Manipulace s nákladem</v>
      </c>
    </row>
    <row r="719" spans="13:26">
      <c r="M719" s="324">
        <f>IF(ISNUMBER(SEARCH(ZAKL_DATA!$B$29,N719)),MAX($M$2:M718)+1,0)</f>
        <v>717</v>
      </c>
      <c r="N719" s="325" t="s">
        <v>2882</v>
      </c>
      <c r="O719" s="340" t="s">
        <v>2883</v>
      </c>
      <c r="Q719" s="327" t="str">
        <f>IFERROR(VLOOKUP(ROWS($Q$3:Q719),$M$3:$N$992,2,0),"")</f>
        <v>Ostatní vedlejší činnosti v dopravě</v>
      </c>
      <c r="R719">
        <f>IF(ISNUMBER(SEARCH('1Př1'!$A$32,N719)),MAX($M$2:M718)+1,0)</f>
        <v>717</v>
      </c>
      <c r="S719" s="325" t="s">
        <v>2882</v>
      </c>
      <c r="T719" t="str">
        <f>IFERROR(VLOOKUP(ROWS($T$3:T719),$R$3:$S$992,2,0),"")</f>
        <v>Ostatní vedlejší činnosti v dopravě</v>
      </c>
      <c r="U719">
        <f>IF(ISNUMBER(SEARCH('1Př1'!$A$33,N719)),MAX($M$2:M718)+1,0)</f>
        <v>717</v>
      </c>
      <c r="V719" s="325" t="s">
        <v>2882</v>
      </c>
      <c r="W719" t="str">
        <f>IFERROR(VLOOKUP(ROWS($W$3:W719),$U$3:$V$992,2,0),"")</f>
        <v>Ostatní vedlejší činnosti v dopravě</v>
      </c>
      <c r="X719">
        <f>IF(ISNUMBER(SEARCH('1Př1'!$A$34,N719)),MAX($M$2:M718)+1,0)</f>
        <v>717</v>
      </c>
      <c r="Y719" s="325" t="s">
        <v>2882</v>
      </c>
      <c r="Z719" t="str">
        <f>IFERROR(VLOOKUP(ROWS($Z$3:Z719),$X$3:$Y$992,2,0),"")</f>
        <v>Ostatní vedlejší činnosti v dopravě</v>
      </c>
    </row>
    <row r="720" spans="13:26">
      <c r="M720" s="324">
        <f>IF(ISNUMBER(SEARCH(ZAKL_DATA!$B$29,N720)),MAX($M$2:M719)+1,0)</f>
        <v>718</v>
      </c>
      <c r="N720" s="325" t="s">
        <v>2884</v>
      </c>
      <c r="O720" s="340" t="s">
        <v>2885</v>
      </c>
      <c r="Q720" s="327" t="str">
        <f>IFERROR(VLOOKUP(ROWS($Q$3:Q720),$M$3:$N$992,2,0),"")</f>
        <v>Poskytování cateringových služeb</v>
      </c>
      <c r="R720">
        <f>IF(ISNUMBER(SEARCH('1Př1'!$A$32,N720)),MAX($M$2:M719)+1,0)</f>
        <v>718</v>
      </c>
      <c r="S720" s="325" t="s">
        <v>2884</v>
      </c>
      <c r="T720" t="str">
        <f>IFERROR(VLOOKUP(ROWS($T$3:T720),$R$3:$S$992,2,0),"")</f>
        <v>Poskytování cateringových služeb</v>
      </c>
      <c r="U720">
        <f>IF(ISNUMBER(SEARCH('1Př1'!$A$33,N720)),MAX($M$2:M719)+1,0)</f>
        <v>718</v>
      </c>
      <c r="V720" s="325" t="s">
        <v>2884</v>
      </c>
      <c r="W720" t="str">
        <f>IFERROR(VLOOKUP(ROWS($W$3:W720),$U$3:$V$992,2,0),"")</f>
        <v>Poskytování cateringových služeb</v>
      </c>
      <c r="X720">
        <f>IF(ISNUMBER(SEARCH('1Př1'!$A$34,N720)),MAX($M$2:M719)+1,0)</f>
        <v>718</v>
      </c>
      <c r="Y720" s="325" t="s">
        <v>2884</v>
      </c>
      <c r="Z720" t="str">
        <f>IFERROR(VLOOKUP(ROWS($Z$3:Z720),$X$3:$Y$992,2,0),"")</f>
        <v>Poskytování cateringových služeb</v>
      </c>
    </row>
    <row r="721" spans="13:26">
      <c r="M721" s="324">
        <f>IF(ISNUMBER(SEARCH(ZAKL_DATA!$B$29,N721)),MAX($M$2:M720)+1,0)</f>
        <v>719</v>
      </c>
      <c r="N721" s="325" t="s">
        <v>2886</v>
      </c>
      <c r="O721" s="340" t="s">
        <v>2887</v>
      </c>
      <c r="Q721" s="327" t="str">
        <f>IFERROR(VLOOKUP(ROWS($Q$3:Q721),$M$3:$N$992,2,0),"")</f>
        <v>Poskytování ostatních stravovacích služeb</v>
      </c>
      <c r="R721">
        <f>IF(ISNUMBER(SEARCH('1Př1'!$A$32,N721)),MAX($M$2:M720)+1,0)</f>
        <v>719</v>
      </c>
      <c r="S721" s="325" t="s">
        <v>2886</v>
      </c>
      <c r="T721" t="str">
        <f>IFERROR(VLOOKUP(ROWS($T$3:T721),$R$3:$S$992,2,0),"")</f>
        <v>Poskytování ostatních stravovacích služeb</v>
      </c>
      <c r="U721">
        <f>IF(ISNUMBER(SEARCH('1Př1'!$A$33,N721)),MAX($M$2:M720)+1,0)</f>
        <v>719</v>
      </c>
      <c r="V721" s="325" t="s">
        <v>2886</v>
      </c>
      <c r="W721" t="str">
        <f>IFERROR(VLOOKUP(ROWS($W$3:W721),$U$3:$V$992,2,0),"")</f>
        <v>Poskytování ostatních stravovacích služeb</v>
      </c>
      <c r="X721">
        <f>IF(ISNUMBER(SEARCH('1Př1'!$A$34,N721)),MAX($M$2:M720)+1,0)</f>
        <v>719</v>
      </c>
      <c r="Y721" s="325" t="s">
        <v>2886</v>
      </c>
      <c r="Z721" t="str">
        <f>IFERROR(VLOOKUP(ROWS($Z$3:Z721),$X$3:$Y$992,2,0),"")</f>
        <v>Poskytování ostatních stravovacích služeb</v>
      </c>
    </row>
    <row r="722" spans="13:26">
      <c r="M722" s="324">
        <f>IF(ISNUMBER(SEARCH(ZAKL_DATA!$B$29,N722)),MAX($M$2:M721)+1,0)</f>
        <v>720</v>
      </c>
      <c r="N722" s="325" t="s">
        <v>2888</v>
      </c>
      <c r="O722" s="340" t="s">
        <v>2889</v>
      </c>
      <c r="Q722" s="327" t="str">
        <f>IFERROR(VLOOKUP(ROWS($Q$3:Q722),$M$3:$N$992,2,0),"")</f>
        <v>Vydávání knih</v>
      </c>
      <c r="R722">
        <f>IF(ISNUMBER(SEARCH('1Př1'!$A$32,N722)),MAX($M$2:M721)+1,0)</f>
        <v>720</v>
      </c>
      <c r="S722" s="325" t="s">
        <v>2888</v>
      </c>
      <c r="T722" t="str">
        <f>IFERROR(VLOOKUP(ROWS($T$3:T722),$R$3:$S$992,2,0),"")</f>
        <v>Vydávání knih</v>
      </c>
      <c r="U722">
        <f>IF(ISNUMBER(SEARCH('1Př1'!$A$33,N722)),MAX($M$2:M721)+1,0)</f>
        <v>720</v>
      </c>
      <c r="V722" s="325" t="s">
        <v>2888</v>
      </c>
      <c r="W722" t="str">
        <f>IFERROR(VLOOKUP(ROWS($W$3:W722),$U$3:$V$992,2,0),"")</f>
        <v>Vydávání knih</v>
      </c>
      <c r="X722">
        <f>IF(ISNUMBER(SEARCH('1Př1'!$A$34,N722)),MAX($M$2:M721)+1,0)</f>
        <v>720</v>
      </c>
      <c r="Y722" s="325" t="s">
        <v>2888</v>
      </c>
      <c r="Z722" t="str">
        <f>IFERROR(VLOOKUP(ROWS($Z$3:Z722),$X$3:$Y$992,2,0),"")</f>
        <v>Vydávání knih</v>
      </c>
    </row>
    <row r="723" spans="13:26">
      <c r="M723" s="324">
        <f>IF(ISNUMBER(SEARCH(ZAKL_DATA!$B$29,N723)),MAX($M$2:M722)+1,0)</f>
        <v>721</v>
      </c>
      <c r="N723" s="325" t="s">
        <v>2890</v>
      </c>
      <c r="O723" s="340" t="s">
        <v>2891</v>
      </c>
      <c r="Q723" s="327" t="str">
        <f>IFERROR(VLOOKUP(ROWS($Q$3:Q723),$M$3:$N$992,2,0),"")</f>
        <v>Vydávání adresářů a jiných seznamů</v>
      </c>
      <c r="R723">
        <f>IF(ISNUMBER(SEARCH('1Př1'!$A$32,N723)),MAX($M$2:M722)+1,0)</f>
        <v>721</v>
      </c>
      <c r="S723" s="325" t="s">
        <v>2890</v>
      </c>
      <c r="T723" t="str">
        <f>IFERROR(VLOOKUP(ROWS($T$3:T723),$R$3:$S$992,2,0),"")</f>
        <v>Vydávání adresářů a jiných seznamů</v>
      </c>
      <c r="U723">
        <f>IF(ISNUMBER(SEARCH('1Př1'!$A$33,N723)),MAX($M$2:M722)+1,0)</f>
        <v>721</v>
      </c>
      <c r="V723" s="325" t="s">
        <v>2890</v>
      </c>
      <c r="W723" t="str">
        <f>IFERROR(VLOOKUP(ROWS($W$3:W723),$U$3:$V$992,2,0),"")</f>
        <v>Vydávání adresářů a jiných seznamů</v>
      </c>
      <c r="X723">
        <f>IF(ISNUMBER(SEARCH('1Př1'!$A$34,N723)),MAX($M$2:M722)+1,0)</f>
        <v>721</v>
      </c>
      <c r="Y723" s="325" t="s">
        <v>2890</v>
      </c>
      <c r="Z723" t="str">
        <f>IFERROR(VLOOKUP(ROWS($Z$3:Z723),$X$3:$Y$992,2,0),"")</f>
        <v>Vydávání adresářů a jiných seznamů</v>
      </c>
    </row>
    <row r="724" spans="13:26">
      <c r="M724" s="324">
        <f>IF(ISNUMBER(SEARCH(ZAKL_DATA!$B$29,N724)),MAX($M$2:M723)+1,0)</f>
        <v>722</v>
      </c>
      <c r="N724" s="325" t="s">
        <v>2892</v>
      </c>
      <c r="O724" s="340" t="s">
        <v>2893</v>
      </c>
      <c r="Q724" s="327" t="str">
        <f>IFERROR(VLOOKUP(ROWS($Q$3:Q724),$M$3:$N$992,2,0),"")</f>
        <v>Vydávání novin</v>
      </c>
      <c r="R724">
        <f>IF(ISNUMBER(SEARCH('1Př1'!$A$32,N724)),MAX($M$2:M723)+1,0)</f>
        <v>722</v>
      </c>
      <c r="S724" s="325" t="s">
        <v>2892</v>
      </c>
      <c r="T724" t="str">
        <f>IFERROR(VLOOKUP(ROWS($T$3:T724),$R$3:$S$992,2,0),"")</f>
        <v>Vydávání novin</v>
      </c>
      <c r="U724">
        <f>IF(ISNUMBER(SEARCH('1Př1'!$A$33,N724)),MAX($M$2:M723)+1,0)</f>
        <v>722</v>
      </c>
      <c r="V724" s="325" t="s">
        <v>2892</v>
      </c>
      <c r="W724" t="str">
        <f>IFERROR(VLOOKUP(ROWS($W$3:W724),$U$3:$V$992,2,0),"")</f>
        <v>Vydávání novin</v>
      </c>
      <c r="X724">
        <f>IF(ISNUMBER(SEARCH('1Př1'!$A$34,N724)),MAX($M$2:M723)+1,0)</f>
        <v>722</v>
      </c>
      <c r="Y724" s="325" t="s">
        <v>2892</v>
      </c>
      <c r="Z724" t="str">
        <f>IFERROR(VLOOKUP(ROWS($Z$3:Z724),$X$3:$Y$992,2,0),"")</f>
        <v>Vydávání novin</v>
      </c>
    </row>
    <row r="725" spans="13:26">
      <c r="M725" s="324">
        <f>IF(ISNUMBER(SEARCH(ZAKL_DATA!$B$29,N725)),MAX($M$2:M724)+1,0)</f>
        <v>723</v>
      </c>
      <c r="N725" s="325" t="s">
        <v>2894</v>
      </c>
      <c r="O725" s="340" t="s">
        <v>2895</v>
      </c>
      <c r="Q725" s="327" t="str">
        <f>IFERROR(VLOOKUP(ROWS($Q$3:Q725),$M$3:$N$992,2,0),"")</f>
        <v>Vydávání časopisů a ostatních periodických publikací</v>
      </c>
      <c r="R725">
        <f>IF(ISNUMBER(SEARCH('1Př1'!$A$32,N725)),MAX($M$2:M724)+1,0)</f>
        <v>723</v>
      </c>
      <c r="S725" s="325" t="s">
        <v>2894</v>
      </c>
      <c r="T725" t="str">
        <f>IFERROR(VLOOKUP(ROWS($T$3:T725),$R$3:$S$992,2,0),"")</f>
        <v>Vydávání časopisů a ostatních periodických publikací</v>
      </c>
      <c r="U725">
        <f>IF(ISNUMBER(SEARCH('1Př1'!$A$33,N725)),MAX($M$2:M724)+1,0)</f>
        <v>723</v>
      </c>
      <c r="V725" s="325" t="s">
        <v>2894</v>
      </c>
      <c r="W725" t="str">
        <f>IFERROR(VLOOKUP(ROWS($W$3:W725),$U$3:$V$992,2,0),"")</f>
        <v>Vydávání časopisů a ostatních periodických publikací</v>
      </c>
      <c r="X725">
        <f>IF(ISNUMBER(SEARCH('1Př1'!$A$34,N725)),MAX($M$2:M724)+1,0)</f>
        <v>723</v>
      </c>
      <c r="Y725" s="325" t="s">
        <v>2894</v>
      </c>
      <c r="Z725" t="str">
        <f>IFERROR(VLOOKUP(ROWS($Z$3:Z725),$X$3:$Y$992,2,0),"")</f>
        <v>Vydávání časopisů a ostatních periodických publikací</v>
      </c>
    </row>
    <row r="726" spans="13:26">
      <c r="M726" s="324">
        <f>IF(ISNUMBER(SEARCH(ZAKL_DATA!$B$29,N726)),MAX($M$2:M725)+1,0)</f>
        <v>724</v>
      </c>
      <c r="N726" s="325" t="s">
        <v>2896</v>
      </c>
      <c r="O726" s="340" t="s">
        <v>2897</v>
      </c>
      <c r="Q726" s="327" t="str">
        <f>IFERROR(VLOOKUP(ROWS($Q$3:Q726),$M$3:$N$992,2,0),"")</f>
        <v>Ostatní vydavatelské činnosti</v>
      </c>
      <c r="R726">
        <f>IF(ISNUMBER(SEARCH('1Př1'!$A$32,N726)),MAX($M$2:M725)+1,0)</f>
        <v>724</v>
      </c>
      <c r="S726" s="325" t="s">
        <v>2896</v>
      </c>
      <c r="T726" t="str">
        <f>IFERROR(VLOOKUP(ROWS($T$3:T726),$R$3:$S$992,2,0),"")</f>
        <v>Ostatní vydavatelské činnosti</v>
      </c>
      <c r="U726">
        <f>IF(ISNUMBER(SEARCH('1Př1'!$A$33,N726)),MAX($M$2:M725)+1,0)</f>
        <v>724</v>
      </c>
      <c r="V726" s="325" t="s">
        <v>2896</v>
      </c>
      <c r="W726" t="str">
        <f>IFERROR(VLOOKUP(ROWS($W$3:W726),$U$3:$V$992,2,0),"")</f>
        <v>Ostatní vydavatelské činnosti</v>
      </c>
      <c r="X726">
        <f>IF(ISNUMBER(SEARCH('1Př1'!$A$34,N726)),MAX($M$2:M725)+1,0)</f>
        <v>724</v>
      </c>
      <c r="Y726" s="325" t="s">
        <v>2896</v>
      </c>
      <c r="Z726" t="str">
        <f>IFERROR(VLOOKUP(ROWS($Z$3:Z726),$X$3:$Y$992,2,0),"")</f>
        <v>Ostatní vydavatelské činnosti</v>
      </c>
    </row>
    <row r="727" spans="13:26">
      <c r="M727" s="324">
        <f>IF(ISNUMBER(SEARCH(ZAKL_DATA!$B$29,N727)),MAX($M$2:M726)+1,0)</f>
        <v>725</v>
      </c>
      <c r="N727" s="325" t="s">
        <v>2898</v>
      </c>
      <c r="O727" s="340" t="s">
        <v>2899</v>
      </c>
      <c r="Q727" s="327" t="str">
        <f>IFERROR(VLOOKUP(ROWS($Q$3:Q727),$M$3:$N$992,2,0),"")</f>
        <v>Vydávání počítačových her</v>
      </c>
      <c r="R727">
        <f>IF(ISNUMBER(SEARCH('1Př1'!$A$32,N727)),MAX($M$2:M726)+1,0)</f>
        <v>725</v>
      </c>
      <c r="S727" s="325" t="s">
        <v>2898</v>
      </c>
      <c r="T727" t="str">
        <f>IFERROR(VLOOKUP(ROWS($T$3:T727),$R$3:$S$992,2,0),"")</f>
        <v>Vydávání počítačových her</v>
      </c>
      <c r="U727">
        <f>IF(ISNUMBER(SEARCH('1Př1'!$A$33,N727)),MAX($M$2:M726)+1,0)</f>
        <v>725</v>
      </c>
      <c r="V727" s="325" t="s">
        <v>2898</v>
      </c>
      <c r="W727" t="str">
        <f>IFERROR(VLOOKUP(ROWS($W$3:W727),$U$3:$V$992,2,0),"")</f>
        <v>Vydávání počítačových her</v>
      </c>
      <c r="X727">
        <f>IF(ISNUMBER(SEARCH('1Př1'!$A$34,N727)),MAX($M$2:M726)+1,0)</f>
        <v>725</v>
      </c>
      <c r="Y727" s="325" t="s">
        <v>2898</v>
      </c>
      <c r="Z727" t="str">
        <f>IFERROR(VLOOKUP(ROWS($Z$3:Z727),$X$3:$Y$992,2,0),"")</f>
        <v>Vydávání počítačových her</v>
      </c>
    </row>
    <row r="728" spans="13:26">
      <c r="M728" s="324">
        <f>IF(ISNUMBER(SEARCH(ZAKL_DATA!$B$29,N728)),MAX($M$2:M727)+1,0)</f>
        <v>726</v>
      </c>
      <c r="N728" s="325" t="s">
        <v>2900</v>
      </c>
      <c r="O728" s="340" t="s">
        <v>2901</v>
      </c>
      <c r="Q728" s="327" t="str">
        <f>IFERROR(VLOOKUP(ROWS($Q$3:Q728),$M$3:$N$992,2,0),"")</f>
        <v>Ostatní vydávání softwaru</v>
      </c>
      <c r="R728">
        <f>IF(ISNUMBER(SEARCH('1Př1'!$A$32,N728)),MAX($M$2:M727)+1,0)</f>
        <v>726</v>
      </c>
      <c r="S728" s="325" t="s">
        <v>2900</v>
      </c>
      <c r="T728" t="str">
        <f>IFERROR(VLOOKUP(ROWS($T$3:T728),$R$3:$S$992,2,0),"")</f>
        <v>Ostatní vydávání softwaru</v>
      </c>
      <c r="U728">
        <f>IF(ISNUMBER(SEARCH('1Př1'!$A$33,N728)),MAX($M$2:M727)+1,0)</f>
        <v>726</v>
      </c>
      <c r="V728" s="325" t="s">
        <v>2900</v>
      </c>
      <c r="W728" t="str">
        <f>IFERROR(VLOOKUP(ROWS($W$3:W728),$U$3:$V$992,2,0),"")</f>
        <v>Ostatní vydávání softwaru</v>
      </c>
      <c r="X728">
        <f>IF(ISNUMBER(SEARCH('1Př1'!$A$34,N728)),MAX($M$2:M727)+1,0)</f>
        <v>726</v>
      </c>
      <c r="Y728" s="325" t="s">
        <v>2900</v>
      </c>
      <c r="Z728" t="str">
        <f>IFERROR(VLOOKUP(ROWS($Z$3:Z728),$X$3:$Y$992,2,0),"")</f>
        <v>Ostatní vydávání softwaru</v>
      </c>
    </row>
    <row r="729" spans="13:26">
      <c r="M729" s="324">
        <f>IF(ISNUMBER(SEARCH(ZAKL_DATA!$B$29,N729)),MAX($M$2:M728)+1,0)</f>
        <v>727</v>
      </c>
      <c r="N729" s="325" t="s">
        <v>2902</v>
      </c>
      <c r="O729" s="340" t="s">
        <v>2903</v>
      </c>
      <c r="Q729" s="327" t="str">
        <f>IFERROR(VLOOKUP(ROWS($Q$3:Q729),$M$3:$N$992,2,0),"")</f>
        <v>Produkce filmů, videozáznamů a televizních programů</v>
      </c>
      <c r="R729">
        <f>IF(ISNUMBER(SEARCH('1Př1'!$A$32,N729)),MAX($M$2:M728)+1,0)</f>
        <v>727</v>
      </c>
      <c r="S729" s="325" t="s">
        <v>2902</v>
      </c>
      <c r="T729" t="str">
        <f>IFERROR(VLOOKUP(ROWS($T$3:T729),$R$3:$S$992,2,0),"")</f>
        <v>Produkce filmů, videozáznamů a televizních programů</v>
      </c>
      <c r="U729">
        <f>IF(ISNUMBER(SEARCH('1Př1'!$A$33,N729)),MAX($M$2:M728)+1,0)</f>
        <v>727</v>
      </c>
      <c r="V729" s="325" t="s">
        <v>2902</v>
      </c>
      <c r="W729" t="str">
        <f>IFERROR(VLOOKUP(ROWS($W$3:W729),$U$3:$V$992,2,0),"")</f>
        <v>Produkce filmů, videozáznamů a televizních programů</v>
      </c>
      <c r="X729">
        <f>IF(ISNUMBER(SEARCH('1Př1'!$A$34,N729)),MAX($M$2:M728)+1,0)</f>
        <v>727</v>
      </c>
      <c r="Y729" s="325" t="s">
        <v>2902</v>
      </c>
      <c r="Z729" t="str">
        <f>IFERROR(VLOOKUP(ROWS($Z$3:Z729),$X$3:$Y$992,2,0),"")</f>
        <v>Produkce filmů, videozáznamů a televizních programů</v>
      </c>
    </row>
    <row r="730" spans="13:26">
      <c r="M730" s="324">
        <f>IF(ISNUMBER(SEARCH(ZAKL_DATA!$B$29,N730)),MAX($M$2:M729)+1,0)</f>
        <v>728</v>
      </c>
      <c r="N730" s="325" t="s">
        <v>2904</v>
      </c>
      <c r="O730" s="340" t="s">
        <v>2905</v>
      </c>
      <c r="Q730" s="327" t="str">
        <f>IFERROR(VLOOKUP(ROWS($Q$3:Q730),$M$3:$N$992,2,0),"")</f>
        <v>Postprodukce filmů, videozáznamů a televizních programů</v>
      </c>
      <c r="R730">
        <f>IF(ISNUMBER(SEARCH('1Př1'!$A$32,N730)),MAX($M$2:M729)+1,0)</f>
        <v>728</v>
      </c>
      <c r="S730" s="325" t="s">
        <v>2904</v>
      </c>
      <c r="T730" t="str">
        <f>IFERROR(VLOOKUP(ROWS($T$3:T730),$R$3:$S$992,2,0),"")</f>
        <v>Postprodukce filmů, videozáznamů a televizních programů</v>
      </c>
      <c r="U730">
        <f>IF(ISNUMBER(SEARCH('1Př1'!$A$33,N730)),MAX($M$2:M729)+1,0)</f>
        <v>728</v>
      </c>
      <c r="V730" s="325" t="s">
        <v>2904</v>
      </c>
      <c r="W730" t="str">
        <f>IFERROR(VLOOKUP(ROWS($W$3:W730),$U$3:$V$992,2,0),"")</f>
        <v>Postprodukce filmů, videozáznamů a televizních programů</v>
      </c>
      <c r="X730">
        <f>IF(ISNUMBER(SEARCH('1Př1'!$A$34,N730)),MAX($M$2:M729)+1,0)</f>
        <v>728</v>
      </c>
      <c r="Y730" s="325" t="s">
        <v>2904</v>
      </c>
      <c r="Z730" t="str">
        <f>IFERROR(VLOOKUP(ROWS($Z$3:Z730),$X$3:$Y$992,2,0),"")</f>
        <v>Postprodukce filmů, videozáznamů a televizních programů</v>
      </c>
    </row>
    <row r="731" spans="13:26">
      <c r="M731" s="324">
        <f>IF(ISNUMBER(SEARCH(ZAKL_DATA!$B$29,N731)),MAX($M$2:M730)+1,0)</f>
        <v>729</v>
      </c>
      <c r="N731" s="325" t="s">
        <v>2906</v>
      </c>
      <c r="O731" s="340" t="s">
        <v>2907</v>
      </c>
      <c r="Q731" s="327" t="str">
        <f>IFERROR(VLOOKUP(ROWS($Q$3:Q731),$M$3:$N$992,2,0),"")</f>
        <v>Distribuce filmů, videozáznamů a televizních programů</v>
      </c>
      <c r="R731">
        <f>IF(ISNUMBER(SEARCH('1Př1'!$A$32,N731)),MAX($M$2:M730)+1,0)</f>
        <v>729</v>
      </c>
      <c r="S731" s="325" t="s">
        <v>2906</v>
      </c>
      <c r="T731" t="str">
        <f>IFERROR(VLOOKUP(ROWS($T$3:T731),$R$3:$S$992,2,0),"")</f>
        <v>Distribuce filmů, videozáznamů a televizních programů</v>
      </c>
      <c r="U731">
        <f>IF(ISNUMBER(SEARCH('1Př1'!$A$33,N731)),MAX($M$2:M730)+1,0)</f>
        <v>729</v>
      </c>
      <c r="V731" s="325" t="s">
        <v>2906</v>
      </c>
      <c r="W731" t="str">
        <f>IFERROR(VLOOKUP(ROWS($W$3:W731),$U$3:$V$992,2,0),"")</f>
        <v>Distribuce filmů, videozáznamů a televizních programů</v>
      </c>
      <c r="X731">
        <f>IF(ISNUMBER(SEARCH('1Př1'!$A$34,N731)),MAX($M$2:M730)+1,0)</f>
        <v>729</v>
      </c>
      <c r="Y731" s="325" t="s">
        <v>2906</v>
      </c>
      <c r="Z731" t="str">
        <f>IFERROR(VLOOKUP(ROWS($Z$3:Z731),$X$3:$Y$992,2,0),"")</f>
        <v>Distribuce filmů, videozáznamů a televizních programů</v>
      </c>
    </row>
    <row r="732" spans="13:26">
      <c r="M732" s="324">
        <f>IF(ISNUMBER(SEARCH(ZAKL_DATA!$B$29,N732)),MAX($M$2:M731)+1,0)</f>
        <v>730</v>
      </c>
      <c r="N732" s="325" t="s">
        <v>2908</v>
      </c>
      <c r="O732" s="340" t="s">
        <v>2909</v>
      </c>
      <c r="Q732" s="327" t="str">
        <f>IFERROR(VLOOKUP(ROWS($Q$3:Q732),$M$3:$N$992,2,0),"")</f>
        <v>Promítání filmů</v>
      </c>
      <c r="R732">
        <f>IF(ISNUMBER(SEARCH('1Př1'!$A$32,N732)),MAX($M$2:M731)+1,0)</f>
        <v>730</v>
      </c>
      <c r="S732" s="325" t="s">
        <v>2908</v>
      </c>
      <c r="T732" t="str">
        <f>IFERROR(VLOOKUP(ROWS($T$3:T732),$R$3:$S$992,2,0),"")</f>
        <v>Promítání filmů</v>
      </c>
      <c r="U732">
        <f>IF(ISNUMBER(SEARCH('1Př1'!$A$33,N732)),MAX($M$2:M731)+1,0)</f>
        <v>730</v>
      </c>
      <c r="V732" s="325" t="s">
        <v>2908</v>
      </c>
      <c r="W732" t="str">
        <f>IFERROR(VLOOKUP(ROWS($W$3:W732),$U$3:$V$992,2,0),"")</f>
        <v>Promítání filmů</v>
      </c>
      <c r="X732">
        <f>IF(ISNUMBER(SEARCH('1Př1'!$A$34,N732)),MAX($M$2:M731)+1,0)</f>
        <v>730</v>
      </c>
      <c r="Y732" s="325" t="s">
        <v>2908</v>
      </c>
      <c r="Z732" t="str">
        <f>IFERROR(VLOOKUP(ROWS($Z$3:Z732),$X$3:$Y$992,2,0),"")</f>
        <v>Promítání filmů</v>
      </c>
    </row>
    <row r="733" spans="13:26">
      <c r="M733" s="324">
        <f>IF(ISNUMBER(SEARCH(ZAKL_DATA!$B$29,N733)),MAX($M$2:M732)+1,0)</f>
        <v>731</v>
      </c>
      <c r="N733" s="325" t="s">
        <v>2910</v>
      </c>
      <c r="O733" s="340" t="s">
        <v>2911</v>
      </c>
      <c r="Q733" s="327" t="str">
        <f>IFERROR(VLOOKUP(ROWS($Q$3:Q733),$M$3:$N$992,2,0),"")</f>
        <v>Programování</v>
      </c>
      <c r="R733">
        <f>IF(ISNUMBER(SEARCH('1Př1'!$A$32,N733)),MAX($M$2:M732)+1,0)</f>
        <v>731</v>
      </c>
      <c r="S733" s="325" t="s">
        <v>2910</v>
      </c>
      <c r="T733" t="str">
        <f>IFERROR(VLOOKUP(ROWS($T$3:T733),$R$3:$S$992,2,0),"")</f>
        <v>Programování</v>
      </c>
      <c r="U733">
        <f>IF(ISNUMBER(SEARCH('1Př1'!$A$33,N733)),MAX($M$2:M732)+1,0)</f>
        <v>731</v>
      </c>
      <c r="V733" s="325" t="s">
        <v>2910</v>
      </c>
      <c r="W733" t="str">
        <f>IFERROR(VLOOKUP(ROWS($W$3:W733),$U$3:$V$992,2,0),"")</f>
        <v>Programování</v>
      </c>
      <c r="X733">
        <f>IF(ISNUMBER(SEARCH('1Př1'!$A$34,N733)),MAX($M$2:M732)+1,0)</f>
        <v>731</v>
      </c>
      <c r="Y733" s="325" t="s">
        <v>2910</v>
      </c>
      <c r="Z733" t="str">
        <f>IFERROR(VLOOKUP(ROWS($Z$3:Z733),$X$3:$Y$992,2,0),"")</f>
        <v>Programování</v>
      </c>
    </row>
    <row r="734" spans="13:26">
      <c r="M734" s="324">
        <f>IF(ISNUMBER(SEARCH(ZAKL_DATA!$B$29,N734)),MAX($M$2:M733)+1,0)</f>
        <v>732</v>
      </c>
      <c r="N734" s="325" t="s">
        <v>2912</v>
      </c>
      <c r="O734" s="340" t="s">
        <v>2913</v>
      </c>
      <c r="Q734" s="327" t="str">
        <f>IFERROR(VLOOKUP(ROWS($Q$3:Q734),$M$3:$N$992,2,0),"")</f>
        <v>Poradenství v oblasti informačních technologií</v>
      </c>
      <c r="R734">
        <f>IF(ISNUMBER(SEARCH('1Př1'!$A$32,N734)),MAX($M$2:M733)+1,0)</f>
        <v>732</v>
      </c>
      <c r="S734" s="325" t="s">
        <v>2912</v>
      </c>
      <c r="T734" t="str">
        <f>IFERROR(VLOOKUP(ROWS($T$3:T734),$R$3:$S$992,2,0),"")</f>
        <v>Poradenství v oblasti informačních technologií</v>
      </c>
      <c r="U734">
        <f>IF(ISNUMBER(SEARCH('1Př1'!$A$33,N734)),MAX($M$2:M733)+1,0)</f>
        <v>732</v>
      </c>
      <c r="V734" s="325" t="s">
        <v>2912</v>
      </c>
      <c r="W734" t="str">
        <f>IFERROR(VLOOKUP(ROWS($W$3:W734),$U$3:$V$992,2,0),"")</f>
        <v>Poradenství v oblasti informačních technologií</v>
      </c>
      <c r="X734">
        <f>IF(ISNUMBER(SEARCH('1Př1'!$A$34,N734)),MAX($M$2:M733)+1,0)</f>
        <v>732</v>
      </c>
      <c r="Y734" s="325" t="s">
        <v>2912</v>
      </c>
      <c r="Z734" t="str">
        <f>IFERROR(VLOOKUP(ROWS($Z$3:Z734),$X$3:$Y$992,2,0),"")</f>
        <v>Poradenství v oblasti informačních technologií</v>
      </c>
    </row>
    <row r="735" spans="13:26">
      <c r="M735" s="324">
        <f>IF(ISNUMBER(SEARCH(ZAKL_DATA!$B$29,N735)),MAX($M$2:M734)+1,0)</f>
        <v>733</v>
      </c>
      <c r="N735" s="325" t="s">
        <v>2914</v>
      </c>
      <c r="O735" s="340" t="s">
        <v>2915</v>
      </c>
      <c r="Q735" s="327" t="str">
        <f>IFERROR(VLOOKUP(ROWS($Q$3:Q735),$M$3:$N$992,2,0),"")</f>
        <v>Správa počítačového vybavení</v>
      </c>
      <c r="R735">
        <f>IF(ISNUMBER(SEARCH('1Př1'!$A$32,N735)),MAX($M$2:M734)+1,0)</f>
        <v>733</v>
      </c>
      <c r="S735" s="325" t="s">
        <v>2914</v>
      </c>
      <c r="T735" t="str">
        <f>IFERROR(VLOOKUP(ROWS($T$3:T735),$R$3:$S$992,2,0),"")</f>
        <v>Správa počítačového vybavení</v>
      </c>
      <c r="U735">
        <f>IF(ISNUMBER(SEARCH('1Př1'!$A$33,N735)),MAX($M$2:M734)+1,0)</f>
        <v>733</v>
      </c>
      <c r="V735" s="325" t="s">
        <v>2914</v>
      </c>
      <c r="W735" t="str">
        <f>IFERROR(VLOOKUP(ROWS($W$3:W735),$U$3:$V$992,2,0),"")</f>
        <v>Správa počítačového vybavení</v>
      </c>
      <c r="X735">
        <f>IF(ISNUMBER(SEARCH('1Př1'!$A$34,N735)),MAX($M$2:M734)+1,0)</f>
        <v>733</v>
      </c>
      <c r="Y735" s="325" t="s">
        <v>2914</v>
      </c>
      <c r="Z735" t="str">
        <f>IFERROR(VLOOKUP(ROWS($Z$3:Z735),$X$3:$Y$992,2,0),"")</f>
        <v>Správa počítačového vybavení</v>
      </c>
    </row>
    <row r="736" spans="13:26">
      <c r="M736" s="324">
        <f>IF(ISNUMBER(SEARCH(ZAKL_DATA!$B$29,N736)),MAX($M$2:M735)+1,0)</f>
        <v>734</v>
      </c>
      <c r="N736" s="325" t="s">
        <v>2916</v>
      </c>
      <c r="O736" s="340" t="s">
        <v>2917</v>
      </c>
      <c r="Q736" s="327" t="str">
        <f>IFERROR(VLOOKUP(ROWS($Q$3:Q736),$M$3:$N$992,2,0),"")</f>
        <v>Ostatní činnosti v oblasti informačních technologií</v>
      </c>
      <c r="R736">
        <f>IF(ISNUMBER(SEARCH('1Př1'!$A$32,N736)),MAX($M$2:M735)+1,0)</f>
        <v>734</v>
      </c>
      <c r="S736" s="325" t="s">
        <v>2916</v>
      </c>
      <c r="T736" t="str">
        <f>IFERROR(VLOOKUP(ROWS($T$3:T736),$R$3:$S$992,2,0),"")</f>
        <v>Ostatní činnosti v oblasti informačních technologií</v>
      </c>
      <c r="U736">
        <f>IF(ISNUMBER(SEARCH('1Př1'!$A$33,N736)),MAX($M$2:M735)+1,0)</f>
        <v>734</v>
      </c>
      <c r="V736" s="325" t="s">
        <v>2916</v>
      </c>
      <c r="W736" t="str">
        <f>IFERROR(VLOOKUP(ROWS($W$3:W736),$U$3:$V$992,2,0),"")</f>
        <v>Ostatní činnosti v oblasti informačních technologií</v>
      </c>
      <c r="X736">
        <f>IF(ISNUMBER(SEARCH('1Př1'!$A$34,N736)),MAX($M$2:M735)+1,0)</f>
        <v>734</v>
      </c>
      <c r="Y736" s="325" t="s">
        <v>2916</v>
      </c>
      <c r="Z736" t="str">
        <f>IFERROR(VLOOKUP(ROWS($Z$3:Z736),$X$3:$Y$992,2,0),"")</f>
        <v>Ostatní činnosti v oblasti informačních technologií</v>
      </c>
    </row>
    <row r="737" spans="13:26">
      <c r="M737" s="324">
        <f>IF(ISNUMBER(SEARCH(ZAKL_DATA!$B$29,N737)),MAX($M$2:M736)+1,0)</f>
        <v>735</v>
      </c>
      <c r="N737" s="325" t="s">
        <v>2918</v>
      </c>
      <c r="O737" s="340" t="s">
        <v>2919</v>
      </c>
      <c r="Q737" s="327" t="str">
        <f>IFERROR(VLOOKUP(ROWS($Q$3:Q737),$M$3:$N$992,2,0),"")</f>
        <v>Činnosti související se zpracováním dat a hostingem</v>
      </c>
      <c r="R737">
        <f>IF(ISNUMBER(SEARCH('1Př1'!$A$32,N737)),MAX($M$2:M736)+1,0)</f>
        <v>735</v>
      </c>
      <c r="S737" s="325" t="s">
        <v>2918</v>
      </c>
      <c r="T737" t="str">
        <f>IFERROR(VLOOKUP(ROWS($T$3:T737),$R$3:$S$992,2,0),"")</f>
        <v>Činnosti související se zpracováním dat a hostingem</v>
      </c>
      <c r="U737">
        <f>IF(ISNUMBER(SEARCH('1Př1'!$A$33,N737)),MAX($M$2:M736)+1,0)</f>
        <v>735</v>
      </c>
      <c r="V737" s="325" t="s">
        <v>2918</v>
      </c>
      <c r="W737" t="str">
        <f>IFERROR(VLOOKUP(ROWS($W$3:W737),$U$3:$V$992,2,0),"")</f>
        <v>Činnosti související se zpracováním dat a hostingem</v>
      </c>
      <c r="X737">
        <f>IF(ISNUMBER(SEARCH('1Př1'!$A$34,N737)),MAX($M$2:M736)+1,0)</f>
        <v>735</v>
      </c>
      <c r="Y737" s="325" t="s">
        <v>2918</v>
      </c>
      <c r="Z737" t="str">
        <f>IFERROR(VLOOKUP(ROWS($Z$3:Z737),$X$3:$Y$992,2,0),"")</f>
        <v>Činnosti související se zpracováním dat a hostingem</v>
      </c>
    </row>
    <row r="738" spans="13:26">
      <c r="M738" s="324">
        <f>IF(ISNUMBER(SEARCH(ZAKL_DATA!$B$29,N738)),MAX($M$2:M737)+1,0)</f>
        <v>736</v>
      </c>
      <c r="N738" s="325" t="s">
        <v>2920</v>
      </c>
      <c r="O738" s="340" t="s">
        <v>2921</v>
      </c>
      <c r="Q738" s="327" t="str">
        <f>IFERROR(VLOOKUP(ROWS($Q$3:Q738),$M$3:$N$992,2,0),"")</f>
        <v>Činnosti související s webovými portály</v>
      </c>
      <c r="R738">
        <f>IF(ISNUMBER(SEARCH('1Př1'!$A$32,N738)),MAX($M$2:M737)+1,0)</f>
        <v>736</v>
      </c>
      <c r="S738" s="325" t="s">
        <v>2920</v>
      </c>
      <c r="T738" t="str">
        <f>IFERROR(VLOOKUP(ROWS($T$3:T738),$R$3:$S$992,2,0),"")</f>
        <v>Činnosti související s webovými portály</v>
      </c>
      <c r="U738">
        <f>IF(ISNUMBER(SEARCH('1Př1'!$A$33,N738)),MAX($M$2:M737)+1,0)</f>
        <v>736</v>
      </c>
      <c r="V738" s="325" t="s">
        <v>2920</v>
      </c>
      <c r="W738" t="str">
        <f>IFERROR(VLOOKUP(ROWS($W$3:W738),$U$3:$V$992,2,0),"")</f>
        <v>Činnosti související s webovými portály</v>
      </c>
      <c r="X738">
        <f>IF(ISNUMBER(SEARCH('1Př1'!$A$34,N738)),MAX($M$2:M737)+1,0)</f>
        <v>736</v>
      </c>
      <c r="Y738" s="325" t="s">
        <v>2920</v>
      </c>
      <c r="Z738" t="str">
        <f>IFERROR(VLOOKUP(ROWS($Z$3:Z738),$X$3:$Y$992,2,0),"")</f>
        <v>Činnosti související s webovými portály</v>
      </c>
    </row>
    <row r="739" spans="13:26">
      <c r="M739" s="324">
        <f>IF(ISNUMBER(SEARCH(ZAKL_DATA!$B$29,N739)),MAX($M$2:M738)+1,0)</f>
        <v>737</v>
      </c>
      <c r="N739" s="325" t="s">
        <v>2922</v>
      </c>
      <c r="O739" s="340" t="s">
        <v>2923</v>
      </c>
      <c r="Q739" s="327" t="str">
        <f>IFERROR(VLOOKUP(ROWS($Q$3:Q739),$M$3:$N$992,2,0),"")</f>
        <v>Činnosti zpravodajských tiskových kanceláří a agentur</v>
      </c>
      <c r="R739">
        <f>IF(ISNUMBER(SEARCH('1Př1'!$A$32,N739)),MAX($M$2:M738)+1,0)</f>
        <v>737</v>
      </c>
      <c r="S739" s="325" t="s">
        <v>2922</v>
      </c>
      <c r="T739" t="str">
        <f>IFERROR(VLOOKUP(ROWS($T$3:T739),$R$3:$S$992,2,0),"")</f>
        <v>Činnosti zpravodajských tiskových kanceláří a agentur</v>
      </c>
      <c r="U739">
        <f>IF(ISNUMBER(SEARCH('1Př1'!$A$33,N739)),MAX($M$2:M738)+1,0)</f>
        <v>737</v>
      </c>
      <c r="V739" s="325" t="s">
        <v>2922</v>
      </c>
      <c r="W739" t="str">
        <f>IFERROR(VLOOKUP(ROWS($W$3:W739),$U$3:$V$992,2,0),"")</f>
        <v>Činnosti zpravodajských tiskových kanceláří a agentur</v>
      </c>
      <c r="X739">
        <f>IF(ISNUMBER(SEARCH('1Př1'!$A$34,N739)),MAX($M$2:M738)+1,0)</f>
        <v>737</v>
      </c>
      <c r="Y739" s="325" t="s">
        <v>2922</v>
      </c>
      <c r="Z739" t="str">
        <f>IFERROR(VLOOKUP(ROWS($Z$3:Z739),$X$3:$Y$992,2,0),"")</f>
        <v>Činnosti zpravodajských tiskových kanceláří a agentur</v>
      </c>
    </row>
    <row r="740" spans="13:26">
      <c r="M740" s="324">
        <f>IF(ISNUMBER(SEARCH(ZAKL_DATA!$B$29,N740)),MAX($M$2:M739)+1,0)</f>
        <v>738</v>
      </c>
      <c r="N740" s="325" t="s">
        <v>2924</v>
      </c>
      <c r="O740" s="340" t="s">
        <v>2925</v>
      </c>
      <c r="Q740" s="327" t="str">
        <f>IFERROR(VLOOKUP(ROWS($Q$3:Q740),$M$3:$N$992,2,0),"")</f>
        <v>Ostatní informační činnosti j. n.</v>
      </c>
      <c r="R740">
        <f>IF(ISNUMBER(SEARCH('1Př1'!$A$32,N740)),MAX($M$2:M739)+1,0)</f>
        <v>738</v>
      </c>
      <c r="S740" s="325" t="s">
        <v>2924</v>
      </c>
      <c r="T740" t="str">
        <f>IFERROR(VLOOKUP(ROWS($T$3:T740),$R$3:$S$992,2,0),"")</f>
        <v>Ostatní informační činnosti j. n.</v>
      </c>
      <c r="U740">
        <f>IF(ISNUMBER(SEARCH('1Př1'!$A$33,N740)),MAX($M$2:M739)+1,0)</f>
        <v>738</v>
      </c>
      <c r="V740" s="325" t="s">
        <v>2924</v>
      </c>
      <c r="W740" t="str">
        <f>IFERROR(VLOOKUP(ROWS($W$3:W740),$U$3:$V$992,2,0),"")</f>
        <v>Ostatní informační činnosti j. n.</v>
      </c>
      <c r="X740">
        <f>IF(ISNUMBER(SEARCH('1Př1'!$A$34,N740)),MAX($M$2:M739)+1,0)</f>
        <v>738</v>
      </c>
      <c r="Y740" s="325" t="s">
        <v>2924</v>
      </c>
      <c r="Z740" t="str">
        <f>IFERROR(VLOOKUP(ROWS($Z$3:Z740),$X$3:$Y$992,2,0),"")</f>
        <v>Ostatní informační činnosti j. n.</v>
      </c>
    </row>
    <row r="741" spans="13:26">
      <c r="M741" s="324">
        <f>IF(ISNUMBER(SEARCH(ZAKL_DATA!$B$29,N741)),MAX($M$2:M740)+1,0)</f>
        <v>739</v>
      </c>
      <c r="N741" s="325" t="s">
        <v>2926</v>
      </c>
      <c r="O741" s="340" t="s">
        <v>2927</v>
      </c>
      <c r="Q741" s="327" t="str">
        <f>IFERROR(VLOOKUP(ROWS($Q$3:Q741),$M$3:$N$992,2,0),"")</f>
        <v>Centrální bankovnictví</v>
      </c>
      <c r="R741">
        <f>IF(ISNUMBER(SEARCH('1Př1'!$A$32,N741)),MAX($M$2:M740)+1,0)</f>
        <v>739</v>
      </c>
      <c r="S741" s="325" t="s">
        <v>2926</v>
      </c>
      <c r="T741" t="str">
        <f>IFERROR(VLOOKUP(ROWS($T$3:T741),$R$3:$S$992,2,0),"")</f>
        <v>Centrální bankovnictví</v>
      </c>
      <c r="U741">
        <f>IF(ISNUMBER(SEARCH('1Př1'!$A$33,N741)),MAX($M$2:M740)+1,0)</f>
        <v>739</v>
      </c>
      <c r="V741" s="325" t="s">
        <v>2926</v>
      </c>
      <c r="W741" t="str">
        <f>IFERROR(VLOOKUP(ROWS($W$3:W741),$U$3:$V$992,2,0),"")</f>
        <v>Centrální bankovnictví</v>
      </c>
      <c r="X741">
        <f>IF(ISNUMBER(SEARCH('1Př1'!$A$34,N741)),MAX($M$2:M740)+1,0)</f>
        <v>739</v>
      </c>
      <c r="Y741" s="325" t="s">
        <v>2926</v>
      </c>
      <c r="Z741" t="str">
        <f>IFERROR(VLOOKUP(ROWS($Z$3:Z741),$X$3:$Y$992,2,0),"")</f>
        <v>Centrální bankovnictví</v>
      </c>
    </row>
    <row r="742" spans="13:26">
      <c r="M742" s="324">
        <f>IF(ISNUMBER(SEARCH(ZAKL_DATA!$B$29,N742)),MAX($M$2:M741)+1,0)</f>
        <v>740</v>
      </c>
      <c r="N742" s="325" t="s">
        <v>2928</v>
      </c>
      <c r="O742" s="340" t="s">
        <v>2929</v>
      </c>
      <c r="Q742" s="327" t="str">
        <f>IFERROR(VLOOKUP(ROWS($Q$3:Q742),$M$3:$N$992,2,0),"")</f>
        <v>Ostatní peněžní zprostředkování</v>
      </c>
      <c r="R742">
        <f>IF(ISNUMBER(SEARCH('1Př1'!$A$32,N742)),MAX($M$2:M741)+1,0)</f>
        <v>740</v>
      </c>
      <c r="S742" s="325" t="s">
        <v>2928</v>
      </c>
      <c r="T742" t="str">
        <f>IFERROR(VLOOKUP(ROWS($T$3:T742),$R$3:$S$992,2,0),"")</f>
        <v>Ostatní peněžní zprostředkování</v>
      </c>
      <c r="U742">
        <f>IF(ISNUMBER(SEARCH('1Př1'!$A$33,N742)),MAX($M$2:M741)+1,0)</f>
        <v>740</v>
      </c>
      <c r="V742" s="325" t="s">
        <v>2928</v>
      </c>
      <c r="W742" t="str">
        <f>IFERROR(VLOOKUP(ROWS($W$3:W742),$U$3:$V$992,2,0),"")</f>
        <v>Ostatní peněžní zprostředkování</v>
      </c>
      <c r="X742">
        <f>IF(ISNUMBER(SEARCH('1Př1'!$A$34,N742)),MAX($M$2:M741)+1,0)</f>
        <v>740</v>
      </c>
      <c r="Y742" s="325" t="s">
        <v>2928</v>
      </c>
      <c r="Z742" t="str">
        <f>IFERROR(VLOOKUP(ROWS($Z$3:Z742),$X$3:$Y$992,2,0),"")</f>
        <v>Ostatní peněžní zprostředkování</v>
      </c>
    </row>
    <row r="743" spans="13:26">
      <c r="M743" s="324">
        <f>IF(ISNUMBER(SEARCH(ZAKL_DATA!$B$29,N743)),MAX($M$2:M742)+1,0)</f>
        <v>741</v>
      </c>
      <c r="N743" s="325" t="s">
        <v>2930</v>
      </c>
      <c r="O743" s="340" t="s">
        <v>2931</v>
      </c>
      <c r="Q743" s="327" t="str">
        <f>IFERROR(VLOOKUP(ROWS($Q$3:Q743),$M$3:$N$992,2,0),"")</f>
        <v>Finanční leasing</v>
      </c>
      <c r="R743">
        <f>IF(ISNUMBER(SEARCH('1Př1'!$A$32,N743)),MAX($M$2:M742)+1,0)</f>
        <v>741</v>
      </c>
      <c r="S743" s="325" t="s">
        <v>2930</v>
      </c>
      <c r="T743" t="str">
        <f>IFERROR(VLOOKUP(ROWS($T$3:T743),$R$3:$S$992,2,0),"")</f>
        <v>Finanční leasing</v>
      </c>
      <c r="U743">
        <f>IF(ISNUMBER(SEARCH('1Př1'!$A$33,N743)),MAX($M$2:M742)+1,0)</f>
        <v>741</v>
      </c>
      <c r="V743" s="325" t="s">
        <v>2930</v>
      </c>
      <c r="W743" t="str">
        <f>IFERROR(VLOOKUP(ROWS($W$3:W743),$U$3:$V$992,2,0),"")</f>
        <v>Finanční leasing</v>
      </c>
      <c r="X743">
        <f>IF(ISNUMBER(SEARCH('1Př1'!$A$34,N743)),MAX($M$2:M742)+1,0)</f>
        <v>741</v>
      </c>
      <c r="Y743" s="325" t="s">
        <v>2930</v>
      </c>
      <c r="Z743" t="str">
        <f>IFERROR(VLOOKUP(ROWS($Z$3:Z743),$X$3:$Y$992,2,0),"")</f>
        <v>Finanční leasing</v>
      </c>
    </row>
    <row r="744" spans="13:26">
      <c r="M744" s="324">
        <f>IF(ISNUMBER(SEARCH(ZAKL_DATA!$B$29,N744)),MAX($M$2:M743)+1,0)</f>
        <v>742</v>
      </c>
      <c r="N744" s="325" t="s">
        <v>2932</v>
      </c>
      <c r="O744" s="340" t="s">
        <v>2933</v>
      </c>
      <c r="Q744" s="327" t="str">
        <f>IFERROR(VLOOKUP(ROWS($Q$3:Q744),$M$3:$N$992,2,0),"")</f>
        <v>Ostatní poskytování úvěrů</v>
      </c>
      <c r="R744">
        <f>IF(ISNUMBER(SEARCH('1Př1'!$A$32,N744)),MAX($M$2:M743)+1,0)</f>
        <v>742</v>
      </c>
      <c r="S744" s="325" t="s">
        <v>2932</v>
      </c>
      <c r="T744" t="str">
        <f>IFERROR(VLOOKUP(ROWS($T$3:T744),$R$3:$S$992,2,0),"")</f>
        <v>Ostatní poskytování úvěrů</v>
      </c>
      <c r="U744">
        <f>IF(ISNUMBER(SEARCH('1Př1'!$A$33,N744)),MAX($M$2:M743)+1,0)</f>
        <v>742</v>
      </c>
      <c r="V744" s="325" t="s">
        <v>2932</v>
      </c>
      <c r="W744" t="str">
        <f>IFERROR(VLOOKUP(ROWS($W$3:W744),$U$3:$V$992,2,0),"")</f>
        <v>Ostatní poskytování úvěrů</v>
      </c>
      <c r="X744">
        <f>IF(ISNUMBER(SEARCH('1Př1'!$A$34,N744)),MAX($M$2:M743)+1,0)</f>
        <v>742</v>
      </c>
      <c r="Y744" s="325" t="s">
        <v>2932</v>
      </c>
      <c r="Z744" t="str">
        <f>IFERROR(VLOOKUP(ROWS($Z$3:Z744),$X$3:$Y$992,2,0),"")</f>
        <v>Ostatní poskytování úvěrů</v>
      </c>
    </row>
    <row r="745" spans="13:26">
      <c r="M745" s="324">
        <f>IF(ISNUMBER(SEARCH(ZAKL_DATA!$B$29,N745)),MAX($M$2:M744)+1,0)</f>
        <v>743</v>
      </c>
      <c r="N745" s="325" t="s">
        <v>2934</v>
      </c>
      <c r="O745" s="340" t="s">
        <v>2935</v>
      </c>
      <c r="Q745" s="327" t="str">
        <f>IFERROR(VLOOKUP(ROWS($Q$3:Q745),$M$3:$N$992,2,0),"")</f>
        <v>Ostatní finanční zprostředkování j. n.</v>
      </c>
      <c r="R745">
        <f>IF(ISNUMBER(SEARCH('1Př1'!$A$32,N745)),MAX($M$2:M744)+1,0)</f>
        <v>743</v>
      </c>
      <c r="S745" s="325" t="s">
        <v>2934</v>
      </c>
      <c r="T745" t="str">
        <f>IFERROR(VLOOKUP(ROWS($T$3:T745),$R$3:$S$992,2,0),"")</f>
        <v>Ostatní finanční zprostředkování j. n.</v>
      </c>
      <c r="U745">
        <f>IF(ISNUMBER(SEARCH('1Př1'!$A$33,N745)),MAX($M$2:M744)+1,0)</f>
        <v>743</v>
      </c>
      <c r="V745" s="325" t="s">
        <v>2934</v>
      </c>
      <c r="W745" t="str">
        <f>IFERROR(VLOOKUP(ROWS($W$3:W745),$U$3:$V$992,2,0),"")</f>
        <v>Ostatní finanční zprostředkování j. n.</v>
      </c>
      <c r="X745">
        <f>IF(ISNUMBER(SEARCH('1Př1'!$A$34,N745)),MAX($M$2:M744)+1,0)</f>
        <v>743</v>
      </c>
      <c r="Y745" s="325" t="s">
        <v>2934</v>
      </c>
      <c r="Z745" t="str">
        <f>IFERROR(VLOOKUP(ROWS($Z$3:Z745),$X$3:$Y$992,2,0),"")</f>
        <v>Ostatní finanční zprostředkování j. n.</v>
      </c>
    </row>
    <row r="746" spans="13:26">
      <c r="M746" s="324">
        <f>IF(ISNUMBER(SEARCH(ZAKL_DATA!$B$29,N746)),MAX($M$2:M745)+1,0)</f>
        <v>744</v>
      </c>
      <c r="N746" s="325" t="s">
        <v>2936</v>
      </c>
      <c r="O746" s="340" t="s">
        <v>2937</v>
      </c>
      <c r="Q746" s="327" t="str">
        <f>IFERROR(VLOOKUP(ROWS($Q$3:Q746),$M$3:$N$992,2,0),"")</f>
        <v>životní pojištění</v>
      </c>
      <c r="R746">
        <f>IF(ISNUMBER(SEARCH('1Př1'!$A$32,N746)),MAX($M$2:M745)+1,0)</f>
        <v>744</v>
      </c>
      <c r="S746" s="325" t="s">
        <v>2936</v>
      </c>
      <c r="T746" t="str">
        <f>IFERROR(VLOOKUP(ROWS($T$3:T746),$R$3:$S$992,2,0),"")</f>
        <v>životní pojištění</v>
      </c>
      <c r="U746">
        <f>IF(ISNUMBER(SEARCH('1Př1'!$A$33,N746)),MAX($M$2:M745)+1,0)</f>
        <v>744</v>
      </c>
      <c r="V746" s="325" t="s">
        <v>2936</v>
      </c>
      <c r="W746" t="str">
        <f>IFERROR(VLOOKUP(ROWS($W$3:W746),$U$3:$V$992,2,0),"")</f>
        <v>životní pojištění</v>
      </c>
      <c r="X746">
        <f>IF(ISNUMBER(SEARCH('1Př1'!$A$34,N746)),MAX($M$2:M745)+1,0)</f>
        <v>744</v>
      </c>
      <c r="Y746" s="325" t="s">
        <v>2936</v>
      </c>
      <c r="Z746" t="str">
        <f>IFERROR(VLOOKUP(ROWS($Z$3:Z746),$X$3:$Y$992,2,0),"")</f>
        <v>životní pojištění</v>
      </c>
    </row>
    <row r="747" spans="13:26">
      <c r="M747" s="324">
        <f>IF(ISNUMBER(SEARCH(ZAKL_DATA!$B$29,N747)),MAX($M$2:M746)+1,0)</f>
        <v>745</v>
      </c>
      <c r="N747" s="325" t="s">
        <v>2938</v>
      </c>
      <c r="O747" s="340" t="s">
        <v>2939</v>
      </c>
      <c r="Q747" s="327" t="str">
        <f>IFERROR(VLOOKUP(ROWS($Q$3:Q747),$M$3:$N$992,2,0),"")</f>
        <v>Neživotní pojištění</v>
      </c>
      <c r="R747">
        <f>IF(ISNUMBER(SEARCH('1Př1'!$A$32,N747)),MAX($M$2:M746)+1,0)</f>
        <v>745</v>
      </c>
      <c r="S747" s="325" t="s">
        <v>2938</v>
      </c>
      <c r="T747" t="str">
        <f>IFERROR(VLOOKUP(ROWS($T$3:T747),$R$3:$S$992,2,0),"")</f>
        <v>Neživotní pojištění</v>
      </c>
      <c r="U747">
        <f>IF(ISNUMBER(SEARCH('1Př1'!$A$33,N747)),MAX($M$2:M746)+1,0)</f>
        <v>745</v>
      </c>
      <c r="V747" s="325" t="s">
        <v>2938</v>
      </c>
      <c r="W747" t="str">
        <f>IFERROR(VLOOKUP(ROWS($W$3:W747),$U$3:$V$992,2,0),"")</f>
        <v>Neživotní pojištění</v>
      </c>
      <c r="X747">
        <f>IF(ISNUMBER(SEARCH('1Př1'!$A$34,N747)),MAX($M$2:M746)+1,0)</f>
        <v>745</v>
      </c>
      <c r="Y747" s="325" t="s">
        <v>2938</v>
      </c>
      <c r="Z747" t="str">
        <f>IFERROR(VLOOKUP(ROWS($Z$3:Z747),$X$3:$Y$992,2,0),"")</f>
        <v>Neživotní pojištění</v>
      </c>
    </row>
    <row r="748" spans="13:26">
      <c r="M748" s="324">
        <f>IF(ISNUMBER(SEARCH(ZAKL_DATA!$B$29,N748)),MAX($M$2:M747)+1,0)</f>
        <v>746</v>
      </c>
      <c r="N748" s="325" t="s">
        <v>2940</v>
      </c>
      <c r="O748" s="340" t="s">
        <v>2941</v>
      </c>
      <c r="Q748" s="327" t="str">
        <f>IFERROR(VLOOKUP(ROWS($Q$3:Q748),$M$3:$N$992,2,0),"")</f>
        <v>Řízení a správa finančních trhů</v>
      </c>
      <c r="R748">
        <f>IF(ISNUMBER(SEARCH('1Př1'!$A$32,N748)),MAX($M$2:M747)+1,0)</f>
        <v>746</v>
      </c>
      <c r="S748" s="325" t="s">
        <v>2940</v>
      </c>
      <c r="T748" t="str">
        <f>IFERROR(VLOOKUP(ROWS($T$3:T748),$R$3:$S$992,2,0),"")</f>
        <v>Řízení a správa finančních trhů</v>
      </c>
      <c r="U748">
        <f>IF(ISNUMBER(SEARCH('1Př1'!$A$33,N748)),MAX($M$2:M747)+1,0)</f>
        <v>746</v>
      </c>
      <c r="V748" s="325" t="s">
        <v>2940</v>
      </c>
      <c r="W748" t="str">
        <f>IFERROR(VLOOKUP(ROWS($W$3:W748),$U$3:$V$992,2,0),"")</f>
        <v>Řízení a správa finančních trhů</v>
      </c>
      <c r="X748">
        <f>IF(ISNUMBER(SEARCH('1Př1'!$A$34,N748)),MAX($M$2:M747)+1,0)</f>
        <v>746</v>
      </c>
      <c r="Y748" s="325" t="s">
        <v>2940</v>
      </c>
      <c r="Z748" t="str">
        <f>IFERROR(VLOOKUP(ROWS($Z$3:Z748),$X$3:$Y$992,2,0),"")</f>
        <v>Řízení a správa finančních trhů</v>
      </c>
    </row>
    <row r="749" spans="13:26">
      <c r="M749" s="324">
        <f>IF(ISNUMBER(SEARCH(ZAKL_DATA!$B$29,N749)),MAX($M$2:M748)+1,0)</f>
        <v>747</v>
      </c>
      <c r="N749" s="325" t="s">
        <v>2942</v>
      </c>
      <c r="O749" s="340" t="s">
        <v>2943</v>
      </c>
      <c r="Q749" s="327" t="str">
        <f>IFERROR(VLOOKUP(ROWS($Q$3:Q749),$M$3:$N$992,2,0),"")</f>
        <v>Obchodování s cennými papíry a komoditami na burzách</v>
      </c>
      <c r="R749">
        <f>IF(ISNUMBER(SEARCH('1Př1'!$A$32,N749)),MAX($M$2:M748)+1,0)</f>
        <v>747</v>
      </c>
      <c r="S749" s="325" t="s">
        <v>2942</v>
      </c>
      <c r="T749" t="str">
        <f>IFERROR(VLOOKUP(ROWS($T$3:T749),$R$3:$S$992,2,0),"")</f>
        <v>Obchodování s cennými papíry a komoditami na burzách</v>
      </c>
      <c r="U749">
        <f>IF(ISNUMBER(SEARCH('1Př1'!$A$33,N749)),MAX($M$2:M748)+1,0)</f>
        <v>747</v>
      </c>
      <c r="V749" s="325" t="s">
        <v>2942</v>
      </c>
      <c r="W749" t="str">
        <f>IFERROR(VLOOKUP(ROWS($W$3:W749),$U$3:$V$992,2,0),"")</f>
        <v>Obchodování s cennými papíry a komoditami na burzách</v>
      </c>
      <c r="X749">
        <f>IF(ISNUMBER(SEARCH('1Př1'!$A$34,N749)),MAX($M$2:M748)+1,0)</f>
        <v>747</v>
      </c>
      <c r="Y749" s="325" t="s">
        <v>2942</v>
      </c>
      <c r="Z749" t="str">
        <f>IFERROR(VLOOKUP(ROWS($Z$3:Z749),$X$3:$Y$992,2,0),"")</f>
        <v>Obchodování s cennými papíry a komoditami na burzách</v>
      </c>
    </row>
    <row r="750" spans="13:26">
      <c r="M750" s="324">
        <f>IF(ISNUMBER(SEARCH(ZAKL_DATA!$B$29,N750)),MAX($M$2:M749)+1,0)</f>
        <v>748</v>
      </c>
      <c r="N750" s="325" t="s">
        <v>2944</v>
      </c>
      <c r="O750" s="340" t="s">
        <v>2945</v>
      </c>
      <c r="Q750" s="327" t="str">
        <f>IFERROR(VLOOKUP(ROWS($Q$3:Q750),$M$3:$N$992,2,0),"")</f>
        <v>Ostatní pomocné činnosti související s finančním zprostředkováním</v>
      </c>
      <c r="R750">
        <f>IF(ISNUMBER(SEARCH('1Př1'!$A$32,N750)),MAX($M$2:M749)+1,0)</f>
        <v>748</v>
      </c>
      <c r="S750" s="325" t="s">
        <v>2944</v>
      </c>
      <c r="T750" t="str">
        <f>IFERROR(VLOOKUP(ROWS($T$3:T750),$R$3:$S$992,2,0),"")</f>
        <v>Ostatní pomocné činnosti související s finančním zprostředkováním</v>
      </c>
      <c r="U750">
        <f>IF(ISNUMBER(SEARCH('1Př1'!$A$33,N750)),MAX($M$2:M749)+1,0)</f>
        <v>748</v>
      </c>
      <c r="V750" s="325" t="s">
        <v>2944</v>
      </c>
      <c r="W750" t="str">
        <f>IFERROR(VLOOKUP(ROWS($W$3:W750),$U$3:$V$992,2,0),"")</f>
        <v>Ostatní pomocné činnosti související s finančním zprostředkováním</v>
      </c>
      <c r="X750">
        <f>IF(ISNUMBER(SEARCH('1Př1'!$A$34,N750)),MAX($M$2:M749)+1,0)</f>
        <v>748</v>
      </c>
      <c r="Y750" s="325" t="s">
        <v>2944</v>
      </c>
      <c r="Z750" t="str">
        <f>IFERROR(VLOOKUP(ROWS($Z$3:Z750),$X$3:$Y$992,2,0),"")</f>
        <v>Ostatní pomocné činnosti související s finančním zprostředkováním</v>
      </c>
    </row>
    <row r="751" spans="13:26">
      <c r="M751" s="324">
        <f>IF(ISNUMBER(SEARCH(ZAKL_DATA!$B$29,N751)),MAX($M$2:M750)+1,0)</f>
        <v>749</v>
      </c>
      <c r="N751" s="325" t="s">
        <v>2946</v>
      </c>
      <c r="O751" s="340" t="s">
        <v>2947</v>
      </c>
      <c r="Q751" s="327" t="str">
        <f>IFERROR(VLOOKUP(ROWS($Q$3:Q751),$M$3:$N$992,2,0),"")</f>
        <v>Vyhodnocování rizik a škod</v>
      </c>
      <c r="R751">
        <f>IF(ISNUMBER(SEARCH('1Př1'!$A$32,N751)),MAX($M$2:M750)+1,0)</f>
        <v>749</v>
      </c>
      <c r="S751" s="325" t="s">
        <v>2946</v>
      </c>
      <c r="T751" t="str">
        <f>IFERROR(VLOOKUP(ROWS($T$3:T751),$R$3:$S$992,2,0),"")</f>
        <v>Vyhodnocování rizik a škod</v>
      </c>
      <c r="U751">
        <f>IF(ISNUMBER(SEARCH('1Př1'!$A$33,N751)),MAX($M$2:M750)+1,0)</f>
        <v>749</v>
      </c>
      <c r="V751" s="325" t="s">
        <v>2946</v>
      </c>
      <c r="W751" t="str">
        <f>IFERROR(VLOOKUP(ROWS($W$3:W751),$U$3:$V$992,2,0),"")</f>
        <v>Vyhodnocování rizik a škod</v>
      </c>
      <c r="X751">
        <f>IF(ISNUMBER(SEARCH('1Př1'!$A$34,N751)),MAX($M$2:M750)+1,0)</f>
        <v>749</v>
      </c>
      <c r="Y751" s="325" t="s">
        <v>2946</v>
      </c>
      <c r="Z751" t="str">
        <f>IFERROR(VLOOKUP(ROWS($Z$3:Z751),$X$3:$Y$992,2,0),"")</f>
        <v>Vyhodnocování rizik a škod</v>
      </c>
    </row>
    <row r="752" spans="13:26">
      <c r="M752" s="324">
        <f>IF(ISNUMBER(SEARCH(ZAKL_DATA!$B$29,N752)),MAX($M$2:M751)+1,0)</f>
        <v>750</v>
      </c>
      <c r="N752" s="325" t="s">
        <v>2948</v>
      </c>
      <c r="O752" s="340" t="s">
        <v>2949</v>
      </c>
      <c r="Q752" s="327" t="str">
        <f>IFERROR(VLOOKUP(ROWS($Q$3:Q752),$M$3:$N$992,2,0),"")</f>
        <v>Činnosti zástupců pojišťovny a makléřů</v>
      </c>
      <c r="R752">
        <f>IF(ISNUMBER(SEARCH('1Př1'!$A$32,N752)),MAX($M$2:M751)+1,0)</f>
        <v>750</v>
      </c>
      <c r="S752" s="325" t="s">
        <v>2948</v>
      </c>
      <c r="T752" t="str">
        <f>IFERROR(VLOOKUP(ROWS($T$3:T752),$R$3:$S$992,2,0),"")</f>
        <v>Činnosti zástupců pojišťovny a makléřů</v>
      </c>
      <c r="U752">
        <f>IF(ISNUMBER(SEARCH('1Př1'!$A$33,N752)),MAX($M$2:M751)+1,0)</f>
        <v>750</v>
      </c>
      <c r="V752" s="325" t="s">
        <v>2948</v>
      </c>
      <c r="W752" t="str">
        <f>IFERROR(VLOOKUP(ROWS($W$3:W752),$U$3:$V$992,2,0),"")</f>
        <v>Činnosti zástupců pojišťovny a makléřů</v>
      </c>
      <c r="X752">
        <f>IF(ISNUMBER(SEARCH('1Př1'!$A$34,N752)),MAX($M$2:M751)+1,0)</f>
        <v>750</v>
      </c>
      <c r="Y752" s="325" t="s">
        <v>2948</v>
      </c>
      <c r="Z752" t="str">
        <f>IFERROR(VLOOKUP(ROWS($Z$3:Z752),$X$3:$Y$992,2,0),"")</f>
        <v>Činnosti zástupců pojišťovny a makléřů</v>
      </c>
    </row>
    <row r="753" spans="13:26">
      <c r="M753" s="324">
        <f>IF(ISNUMBER(SEARCH(ZAKL_DATA!$B$29,N753)),MAX($M$2:M752)+1,0)</f>
        <v>751</v>
      </c>
      <c r="N753" s="325" t="s">
        <v>2950</v>
      </c>
      <c r="O753" s="340" t="s">
        <v>2951</v>
      </c>
      <c r="Q753" s="327" t="str">
        <f>IFERROR(VLOOKUP(ROWS($Q$3:Q753),$M$3:$N$992,2,0),"")</f>
        <v>Ostatní pomocné činnosti související s pojišťovnictvím a penz.fin.</v>
      </c>
      <c r="R753">
        <f>IF(ISNUMBER(SEARCH('1Př1'!$A$32,N753)),MAX($M$2:M752)+1,0)</f>
        <v>751</v>
      </c>
      <c r="S753" s="325" t="s">
        <v>2950</v>
      </c>
      <c r="T753" t="str">
        <f>IFERROR(VLOOKUP(ROWS($T$3:T753),$R$3:$S$992,2,0),"")</f>
        <v>Ostatní pomocné činnosti související s pojišťovnictvím a penz.fin.</v>
      </c>
      <c r="U753">
        <f>IF(ISNUMBER(SEARCH('1Př1'!$A$33,N753)),MAX($M$2:M752)+1,0)</f>
        <v>751</v>
      </c>
      <c r="V753" s="325" t="s">
        <v>2950</v>
      </c>
      <c r="W753" t="str">
        <f>IFERROR(VLOOKUP(ROWS($W$3:W753),$U$3:$V$992,2,0),"")</f>
        <v>Ostatní pomocné činnosti související s pojišťovnictvím a penz.fin.</v>
      </c>
      <c r="X753">
        <f>IF(ISNUMBER(SEARCH('1Př1'!$A$34,N753)),MAX($M$2:M752)+1,0)</f>
        <v>751</v>
      </c>
      <c r="Y753" s="325" t="s">
        <v>2950</v>
      </c>
      <c r="Z753" t="str">
        <f>IFERROR(VLOOKUP(ROWS($Z$3:Z753),$X$3:$Y$992,2,0),"")</f>
        <v>Ostatní pomocné činnosti související s pojišťovnictvím a penz.fin.</v>
      </c>
    </row>
    <row r="754" spans="13:26">
      <c r="M754" s="324">
        <f>IF(ISNUMBER(SEARCH(ZAKL_DATA!$B$29,N754)),MAX($M$2:M753)+1,0)</f>
        <v>752</v>
      </c>
      <c r="N754" s="325" t="s">
        <v>2952</v>
      </c>
      <c r="O754" s="340" t="s">
        <v>2953</v>
      </c>
      <c r="Q754" s="327" t="str">
        <f>IFERROR(VLOOKUP(ROWS($Q$3:Q754),$M$3:$N$992,2,0),"")</f>
        <v>Zprostředkovatelské činnosti realitních agentur</v>
      </c>
      <c r="R754">
        <f>IF(ISNUMBER(SEARCH('1Př1'!$A$32,N754)),MAX($M$2:M753)+1,0)</f>
        <v>752</v>
      </c>
      <c r="S754" s="325" t="s">
        <v>2952</v>
      </c>
      <c r="T754" t="str">
        <f>IFERROR(VLOOKUP(ROWS($T$3:T754),$R$3:$S$992,2,0),"")</f>
        <v>Zprostředkovatelské činnosti realitních agentur</v>
      </c>
      <c r="U754">
        <f>IF(ISNUMBER(SEARCH('1Př1'!$A$33,N754)),MAX($M$2:M753)+1,0)</f>
        <v>752</v>
      </c>
      <c r="V754" s="325" t="s">
        <v>2952</v>
      </c>
      <c r="W754" t="str">
        <f>IFERROR(VLOOKUP(ROWS($W$3:W754),$U$3:$V$992,2,0),"")</f>
        <v>Zprostředkovatelské činnosti realitních agentur</v>
      </c>
      <c r="X754">
        <f>IF(ISNUMBER(SEARCH('1Př1'!$A$34,N754)),MAX($M$2:M753)+1,0)</f>
        <v>752</v>
      </c>
      <c r="Y754" s="325" t="s">
        <v>2952</v>
      </c>
      <c r="Z754" t="str">
        <f>IFERROR(VLOOKUP(ROWS($Z$3:Z754),$X$3:$Y$992,2,0),"")</f>
        <v>Zprostředkovatelské činnosti realitních agentur</v>
      </c>
    </row>
    <row r="755" spans="13:26">
      <c r="M755" s="324">
        <f>IF(ISNUMBER(SEARCH(ZAKL_DATA!$B$29,N755)),MAX($M$2:M754)+1,0)</f>
        <v>753</v>
      </c>
      <c r="N755" s="325" t="s">
        <v>2954</v>
      </c>
      <c r="O755" s="340" t="s">
        <v>2955</v>
      </c>
      <c r="Q755" s="327" t="str">
        <f>IFERROR(VLOOKUP(ROWS($Q$3:Q755),$M$3:$N$992,2,0),"")</f>
        <v>Správa nemovitostí na základě smlouvy</v>
      </c>
      <c r="R755">
        <f>IF(ISNUMBER(SEARCH('1Př1'!$A$32,N755)),MAX($M$2:M754)+1,0)</f>
        <v>753</v>
      </c>
      <c r="S755" s="325" t="s">
        <v>2954</v>
      </c>
      <c r="T755" t="str">
        <f>IFERROR(VLOOKUP(ROWS($T$3:T755),$R$3:$S$992,2,0),"")</f>
        <v>Správa nemovitostí na základě smlouvy</v>
      </c>
      <c r="U755">
        <f>IF(ISNUMBER(SEARCH('1Př1'!$A$33,N755)),MAX($M$2:M754)+1,0)</f>
        <v>753</v>
      </c>
      <c r="V755" s="325" t="s">
        <v>2954</v>
      </c>
      <c r="W755" t="str">
        <f>IFERROR(VLOOKUP(ROWS($W$3:W755),$U$3:$V$992,2,0),"")</f>
        <v>Správa nemovitostí na základě smlouvy</v>
      </c>
      <c r="X755">
        <f>IF(ISNUMBER(SEARCH('1Př1'!$A$34,N755)),MAX($M$2:M754)+1,0)</f>
        <v>753</v>
      </c>
      <c r="Y755" s="325" t="s">
        <v>2954</v>
      </c>
      <c r="Z755" t="str">
        <f>IFERROR(VLOOKUP(ROWS($Z$3:Z755),$X$3:$Y$992,2,0),"")</f>
        <v>Správa nemovitostí na základě smlouvy</v>
      </c>
    </row>
    <row r="756" spans="13:26">
      <c r="M756" s="324">
        <f>IF(ISNUMBER(SEARCH(ZAKL_DATA!$B$29,N756)),MAX($M$2:M755)+1,0)</f>
        <v>754</v>
      </c>
      <c r="N756" s="325" t="s">
        <v>2956</v>
      </c>
      <c r="O756" s="340" t="s">
        <v>2957</v>
      </c>
      <c r="Q756" s="327" t="str">
        <f>IFERROR(VLOOKUP(ROWS($Q$3:Q756),$M$3:$N$992,2,0),"")</f>
        <v>Poradenství v oblasti vztahů s veřejností a komunikace</v>
      </c>
      <c r="R756">
        <f>IF(ISNUMBER(SEARCH('1Př1'!$A$32,N756)),MAX($M$2:M755)+1,0)</f>
        <v>754</v>
      </c>
      <c r="S756" s="325" t="s">
        <v>2956</v>
      </c>
      <c r="T756" t="str">
        <f>IFERROR(VLOOKUP(ROWS($T$3:T756),$R$3:$S$992,2,0),"")</f>
        <v>Poradenství v oblasti vztahů s veřejností a komunikace</v>
      </c>
      <c r="U756">
        <f>IF(ISNUMBER(SEARCH('1Př1'!$A$33,N756)),MAX($M$2:M755)+1,0)</f>
        <v>754</v>
      </c>
      <c r="V756" s="325" t="s">
        <v>2956</v>
      </c>
      <c r="W756" t="str">
        <f>IFERROR(VLOOKUP(ROWS($W$3:W756),$U$3:$V$992,2,0),"")</f>
        <v>Poradenství v oblasti vztahů s veřejností a komunikace</v>
      </c>
      <c r="X756">
        <f>IF(ISNUMBER(SEARCH('1Př1'!$A$34,N756)),MAX($M$2:M755)+1,0)</f>
        <v>754</v>
      </c>
      <c r="Y756" s="325" t="s">
        <v>2956</v>
      </c>
      <c r="Z756" t="str">
        <f>IFERROR(VLOOKUP(ROWS($Z$3:Z756),$X$3:$Y$992,2,0),"")</f>
        <v>Poradenství v oblasti vztahů s veřejností a komunikace</v>
      </c>
    </row>
    <row r="757" spans="13:26">
      <c r="M757" s="324">
        <f>IF(ISNUMBER(SEARCH(ZAKL_DATA!$B$29,N757)),MAX($M$2:M756)+1,0)</f>
        <v>755</v>
      </c>
      <c r="N757" s="325" t="s">
        <v>2958</v>
      </c>
      <c r="O757" s="340" t="s">
        <v>2959</v>
      </c>
      <c r="Q757" s="327" t="str">
        <f>IFERROR(VLOOKUP(ROWS($Q$3:Q757),$M$3:$N$992,2,0),"")</f>
        <v>Ostatní poradenství v oblasti podnikání a řízení</v>
      </c>
      <c r="R757">
        <f>IF(ISNUMBER(SEARCH('1Př1'!$A$32,N757)),MAX($M$2:M756)+1,0)</f>
        <v>755</v>
      </c>
      <c r="S757" s="325" t="s">
        <v>2958</v>
      </c>
      <c r="T757" t="str">
        <f>IFERROR(VLOOKUP(ROWS($T$3:T757),$R$3:$S$992,2,0),"")</f>
        <v>Ostatní poradenství v oblasti podnikání a řízení</v>
      </c>
      <c r="U757">
        <f>IF(ISNUMBER(SEARCH('1Př1'!$A$33,N757)),MAX($M$2:M756)+1,0)</f>
        <v>755</v>
      </c>
      <c r="V757" s="325" t="s">
        <v>2958</v>
      </c>
      <c r="W757" t="str">
        <f>IFERROR(VLOOKUP(ROWS($W$3:W757),$U$3:$V$992,2,0),"")</f>
        <v>Ostatní poradenství v oblasti podnikání a řízení</v>
      </c>
      <c r="X757">
        <f>IF(ISNUMBER(SEARCH('1Př1'!$A$34,N757)),MAX($M$2:M756)+1,0)</f>
        <v>755</v>
      </c>
      <c r="Y757" s="325" t="s">
        <v>2958</v>
      </c>
      <c r="Z757" t="str">
        <f>IFERROR(VLOOKUP(ROWS($Z$3:Z757),$X$3:$Y$992,2,0),"")</f>
        <v>Ostatní poradenství v oblasti podnikání a řízení</v>
      </c>
    </row>
    <row r="758" spans="13:26">
      <c r="M758" s="324">
        <f>IF(ISNUMBER(SEARCH(ZAKL_DATA!$B$29,N758)),MAX($M$2:M757)+1,0)</f>
        <v>756</v>
      </c>
      <c r="N758" s="325" t="s">
        <v>2960</v>
      </c>
      <c r="O758" s="340" t="s">
        <v>2961</v>
      </c>
      <c r="Q758" s="327" t="str">
        <f>IFERROR(VLOOKUP(ROWS($Q$3:Q758),$M$3:$N$992,2,0),"")</f>
        <v>Těžba železných rud</v>
      </c>
      <c r="R758">
        <f>IF(ISNUMBER(SEARCH('1Př1'!$A$32,N758)),MAX($M$2:M757)+1,0)</f>
        <v>756</v>
      </c>
      <c r="S758" s="325" t="s">
        <v>2960</v>
      </c>
      <c r="T758" t="str">
        <f>IFERROR(VLOOKUP(ROWS($T$3:T758),$R$3:$S$992,2,0),"")</f>
        <v>Těžba železných rud</v>
      </c>
      <c r="U758">
        <f>IF(ISNUMBER(SEARCH('1Př1'!$A$33,N758)),MAX($M$2:M757)+1,0)</f>
        <v>756</v>
      </c>
      <c r="V758" s="325" t="s">
        <v>2960</v>
      </c>
      <c r="W758" t="str">
        <f>IFERROR(VLOOKUP(ROWS($W$3:W758),$U$3:$V$992,2,0),"")</f>
        <v>Těžba železných rud</v>
      </c>
      <c r="X758">
        <f>IF(ISNUMBER(SEARCH('1Př1'!$A$34,N758)),MAX($M$2:M757)+1,0)</f>
        <v>756</v>
      </c>
      <c r="Y758" s="325" t="s">
        <v>2960</v>
      </c>
      <c r="Z758" t="str">
        <f>IFERROR(VLOOKUP(ROWS($Z$3:Z758),$X$3:$Y$992,2,0),"")</f>
        <v>Těžba železných rud</v>
      </c>
    </row>
    <row r="759" spans="13:26">
      <c r="M759" s="324">
        <f>IF(ISNUMBER(SEARCH(ZAKL_DATA!$B$29,N759)),MAX($M$2:M758)+1,0)</f>
        <v>757</v>
      </c>
      <c r="N759" s="325" t="s">
        <v>2962</v>
      </c>
      <c r="O759" s="340" t="s">
        <v>2963</v>
      </c>
      <c r="Q759" s="327" t="str">
        <f>IFERROR(VLOOKUP(ROWS($Q$3:Q759),$M$3:$N$992,2,0),"")</f>
        <v>Úprava železných rud</v>
      </c>
      <c r="R759">
        <f>IF(ISNUMBER(SEARCH('1Př1'!$A$32,N759)),MAX($M$2:M758)+1,0)</f>
        <v>757</v>
      </c>
      <c r="S759" s="325" t="s">
        <v>2962</v>
      </c>
      <c r="T759" t="str">
        <f>IFERROR(VLOOKUP(ROWS($T$3:T759),$R$3:$S$992,2,0),"")</f>
        <v>Úprava železných rud</v>
      </c>
      <c r="U759">
        <f>IF(ISNUMBER(SEARCH('1Př1'!$A$33,N759)),MAX($M$2:M758)+1,0)</f>
        <v>757</v>
      </c>
      <c r="V759" s="325" t="s">
        <v>2962</v>
      </c>
      <c r="W759" t="str">
        <f>IFERROR(VLOOKUP(ROWS($W$3:W759),$U$3:$V$992,2,0),"")</f>
        <v>Úprava železných rud</v>
      </c>
      <c r="X759">
        <f>IF(ISNUMBER(SEARCH('1Př1'!$A$34,N759)),MAX($M$2:M758)+1,0)</f>
        <v>757</v>
      </c>
      <c r="Y759" s="325" t="s">
        <v>2962</v>
      </c>
      <c r="Z759" t="str">
        <f>IFERROR(VLOOKUP(ROWS($Z$3:Z759),$X$3:$Y$992,2,0),"")</f>
        <v>Úprava železných rud</v>
      </c>
    </row>
    <row r="760" spans="13:26">
      <c r="M760" s="324">
        <f>IF(ISNUMBER(SEARCH(ZAKL_DATA!$B$29,N760)),MAX($M$2:M759)+1,0)</f>
        <v>758</v>
      </c>
      <c r="N760" s="325" t="s">
        <v>2964</v>
      </c>
      <c r="O760" s="340" t="s">
        <v>2965</v>
      </c>
      <c r="Q760" s="327" t="str">
        <f>IFERROR(VLOOKUP(ROWS($Q$3:Q760),$M$3:$N$992,2,0),"")</f>
        <v>Architektonické činnosti</v>
      </c>
      <c r="R760">
        <f>IF(ISNUMBER(SEARCH('1Př1'!$A$32,N760)),MAX($M$2:M759)+1,0)</f>
        <v>758</v>
      </c>
      <c r="S760" s="325" t="s">
        <v>2964</v>
      </c>
      <c r="T760" t="str">
        <f>IFERROR(VLOOKUP(ROWS($T$3:T760),$R$3:$S$992,2,0),"")</f>
        <v>Architektonické činnosti</v>
      </c>
      <c r="U760">
        <f>IF(ISNUMBER(SEARCH('1Př1'!$A$33,N760)),MAX($M$2:M759)+1,0)</f>
        <v>758</v>
      </c>
      <c r="V760" s="325" t="s">
        <v>2964</v>
      </c>
      <c r="W760" t="str">
        <f>IFERROR(VLOOKUP(ROWS($W$3:W760),$U$3:$V$992,2,0),"")</f>
        <v>Architektonické činnosti</v>
      </c>
      <c r="X760">
        <f>IF(ISNUMBER(SEARCH('1Př1'!$A$34,N760)),MAX($M$2:M759)+1,0)</f>
        <v>758</v>
      </c>
      <c r="Y760" s="325" t="s">
        <v>2964</v>
      </c>
      <c r="Z760" t="str">
        <f>IFERROR(VLOOKUP(ROWS($Z$3:Z760),$X$3:$Y$992,2,0),"")</f>
        <v>Architektonické činnosti</v>
      </c>
    </row>
    <row r="761" spans="13:26">
      <c r="M761" s="324">
        <f>IF(ISNUMBER(SEARCH(ZAKL_DATA!$B$29,N761)),MAX($M$2:M760)+1,0)</f>
        <v>759</v>
      </c>
      <c r="N761" s="325" t="s">
        <v>2966</v>
      </c>
      <c r="O761" s="340" t="s">
        <v>2967</v>
      </c>
      <c r="Q761" s="327" t="str">
        <f>IFERROR(VLOOKUP(ROWS($Q$3:Q761),$M$3:$N$992,2,0),"")</f>
        <v>Inženýrské činnosti a související technické poradenství</v>
      </c>
      <c r="R761">
        <f>IF(ISNUMBER(SEARCH('1Př1'!$A$32,N761)),MAX($M$2:M760)+1,0)</f>
        <v>759</v>
      </c>
      <c r="S761" s="325" t="s">
        <v>2966</v>
      </c>
      <c r="T761" t="str">
        <f>IFERROR(VLOOKUP(ROWS($T$3:T761),$R$3:$S$992,2,0),"")</f>
        <v>Inženýrské činnosti a související technické poradenství</v>
      </c>
      <c r="U761">
        <f>IF(ISNUMBER(SEARCH('1Př1'!$A$33,N761)),MAX($M$2:M760)+1,0)</f>
        <v>759</v>
      </c>
      <c r="V761" s="325" t="s">
        <v>2966</v>
      </c>
      <c r="W761" t="str">
        <f>IFERROR(VLOOKUP(ROWS($W$3:W761),$U$3:$V$992,2,0),"")</f>
        <v>Inženýrské činnosti a související technické poradenství</v>
      </c>
      <c r="X761">
        <f>IF(ISNUMBER(SEARCH('1Př1'!$A$34,N761)),MAX($M$2:M760)+1,0)</f>
        <v>759</v>
      </c>
      <c r="Y761" s="325" t="s">
        <v>2966</v>
      </c>
      <c r="Z761" t="str">
        <f>IFERROR(VLOOKUP(ROWS($Z$3:Z761),$X$3:$Y$992,2,0),"")</f>
        <v>Inženýrské činnosti a související technické poradenství</v>
      </c>
    </row>
    <row r="762" spans="13:26">
      <c r="M762" s="324">
        <f>IF(ISNUMBER(SEARCH(ZAKL_DATA!$B$29,N762)),MAX($M$2:M761)+1,0)</f>
        <v>760</v>
      </c>
      <c r="N762" s="325" t="s">
        <v>2968</v>
      </c>
      <c r="O762" s="340" t="s">
        <v>2969</v>
      </c>
      <c r="Q762" s="327" t="str">
        <f>IFERROR(VLOOKUP(ROWS($Q$3:Q762),$M$3:$N$992,2,0),"")</f>
        <v>Výzkum a vývoj v oblasti biotechnologie</v>
      </c>
      <c r="R762">
        <f>IF(ISNUMBER(SEARCH('1Př1'!$A$32,N762)),MAX($M$2:M761)+1,0)</f>
        <v>760</v>
      </c>
      <c r="S762" s="325" t="s">
        <v>2968</v>
      </c>
      <c r="T762" t="str">
        <f>IFERROR(VLOOKUP(ROWS($T$3:T762),$R$3:$S$992,2,0),"")</f>
        <v>Výzkum a vývoj v oblasti biotechnologie</v>
      </c>
      <c r="U762">
        <f>IF(ISNUMBER(SEARCH('1Př1'!$A$33,N762)),MAX($M$2:M761)+1,0)</f>
        <v>760</v>
      </c>
      <c r="V762" s="325" t="s">
        <v>2968</v>
      </c>
      <c r="W762" t="str">
        <f>IFERROR(VLOOKUP(ROWS($W$3:W762),$U$3:$V$992,2,0),"")</f>
        <v>Výzkum a vývoj v oblasti biotechnologie</v>
      </c>
      <c r="X762">
        <f>IF(ISNUMBER(SEARCH('1Př1'!$A$34,N762)),MAX($M$2:M761)+1,0)</f>
        <v>760</v>
      </c>
      <c r="Y762" s="325" t="s">
        <v>2968</v>
      </c>
      <c r="Z762" t="str">
        <f>IFERROR(VLOOKUP(ROWS($Z$3:Z762),$X$3:$Y$992,2,0),"")</f>
        <v>Výzkum a vývoj v oblasti biotechnologie</v>
      </c>
    </row>
    <row r="763" spans="13:26">
      <c r="M763" s="324">
        <f>IF(ISNUMBER(SEARCH(ZAKL_DATA!$B$29,N763)),MAX($M$2:M762)+1,0)</f>
        <v>761</v>
      </c>
      <c r="N763" s="325" t="s">
        <v>2970</v>
      </c>
      <c r="O763" s="340" t="s">
        <v>2971</v>
      </c>
      <c r="Q763" s="327" t="str">
        <f>IFERROR(VLOOKUP(ROWS($Q$3:Q763),$M$3:$N$992,2,0),"")</f>
        <v>Těžba uranových a thoriových rud</v>
      </c>
      <c r="R763">
        <f>IF(ISNUMBER(SEARCH('1Př1'!$A$32,N763)),MAX($M$2:M762)+1,0)</f>
        <v>761</v>
      </c>
      <c r="S763" s="325" t="s">
        <v>2970</v>
      </c>
      <c r="T763" t="str">
        <f>IFERROR(VLOOKUP(ROWS($T$3:T763),$R$3:$S$992,2,0),"")</f>
        <v>Těžba uranových a thoriových rud</v>
      </c>
      <c r="U763">
        <f>IF(ISNUMBER(SEARCH('1Př1'!$A$33,N763)),MAX($M$2:M762)+1,0)</f>
        <v>761</v>
      </c>
      <c r="V763" s="325" t="s">
        <v>2970</v>
      </c>
      <c r="W763" t="str">
        <f>IFERROR(VLOOKUP(ROWS($W$3:W763),$U$3:$V$992,2,0),"")</f>
        <v>Těžba uranových a thoriových rud</v>
      </c>
      <c r="X763">
        <f>IF(ISNUMBER(SEARCH('1Př1'!$A$34,N763)),MAX($M$2:M762)+1,0)</f>
        <v>761</v>
      </c>
      <c r="Y763" s="325" t="s">
        <v>2970</v>
      </c>
      <c r="Z763" t="str">
        <f>IFERROR(VLOOKUP(ROWS($Z$3:Z763),$X$3:$Y$992,2,0),"")</f>
        <v>Těžba uranových a thoriových rud</v>
      </c>
    </row>
    <row r="764" spans="13:26">
      <c r="M764" s="324">
        <f>IF(ISNUMBER(SEARCH(ZAKL_DATA!$B$29,N764)),MAX($M$2:M763)+1,0)</f>
        <v>762</v>
      </c>
      <c r="N764" s="325" t="s">
        <v>2972</v>
      </c>
      <c r="O764" s="340" t="s">
        <v>2973</v>
      </c>
      <c r="Q764" s="327" t="str">
        <f>IFERROR(VLOOKUP(ROWS($Q$3:Q764),$M$3:$N$992,2,0),"")</f>
        <v>Úprava uranových a thoriových rud</v>
      </c>
      <c r="R764">
        <f>IF(ISNUMBER(SEARCH('1Př1'!$A$32,N764)),MAX($M$2:M763)+1,0)</f>
        <v>762</v>
      </c>
      <c r="S764" s="325" t="s">
        <v>2972</v>
      </c>
      <c r="T764" t="str">
        <f>IFERROR(VLOOKUP(ROWS($T$3:T764),$R$3:$S$992,2,0),"")</f>
        <v>Úprava uranových a thoriových rud</v>
      </c>
      <c r="U764">
        <f>IF(ISNUMBER(SEARCH('1Př1'!$A$33,N764)),MAX($M$2:M763)+1,0)</f>
        <v>762</v>
      </c>
      <c r="V764" s="325" t="s">
        <v>2972</v>
      </c>
      <c r="W764" t="str">
        <f>IFERROR(VLOOKUP(ROWS($W$3:W764),$U$3:$V$992,2,0),"")</f>
        <v>Úprava uranových a thoriových rud</v>
      </c>
      <c r="X764">
        <f>IF(ISNUMBER(SEARCH('1Př1'!$A$34,N764)),MAX($M$2:M763)+1,0)</f>
        <v>762</v>
      </c>
      <c r="Y764" s="325" t="s">
        <v>2972</v>
      </c>
      <c r="Z764" t="str">
        <f>IFERROR(VLOOKUP(ROWS($Z$3:Z764),$X$3:$Y$992,2,0),"")</f>
        <v>Úprava uranových a thoriových rud</v>
      </c>
    </row>
    <row r="765" spans="13:26">
      <c r="M765" s="324">
        <f>IF(ISNUMBER(SEARCH(ZAKL_DATA!$B$29,N765)),MAX($M$2:M764)+1,0)</f>
        <v>763</v>
      </c>
      <c r="N765" s="325" t="s">
        <v>2974</v>
      </c>
      <c r="O765" s="340" t="s">
        <v>2975</v>
      </c>
      <c r="Q765" s="327" t="str">
        <f>IFERROR(VLOOKUP(ROWS($Q$3:Q765),$M$3:$N$992,2,0),"")</f>
        <v>Ostatní výzkum a vývoj voblasti přírodních atechnických věd</v>
      </c>
      <c r="R765">
        <f>IF(ISNUMBER(SEARCH('1Př1'!$A$32,N765)),MAX($M$2:M764)+1,0)</f>
        <v>763</v>
      </c>
      <c r="S765" s="325" t="s">
        <v>2974</v>
      </c>
      <c r="T765" t="str">
        <f>IFERROR(VLOOKUP(ROWS($T$3:T765),$R$3:$S$992,2,0),"")</f>
        <v>Ostatní výzkum a vývoj voblasti přírodních atechnických věd</v>
      </c>
      <c r="U765">
        <f>IF(ISNUMBER(SEARCH('1Př1'!$A$33,N765)),MAX($M$2:M764)+1,0)</f>
        <v>763</v>
      </c>
      <c r="V765" s="325" t="s">
        <v>2974</v>
      </c>
      <c r="W765" t="str">
        <f>IFERROR(VLOOKUP(ROWS($W$3:W765),$U$3:$V$992,2,0),"")</f>
        <v>Ostatní výzkum a vývoj voblasti přírodních atechnických věd</v>
      </c>
      <c r="X765">
        <f>IF(ISNUMBER(SEARCH('1Př1'!$A$34,N765)),MAX($M$2:M764)+1,0)</f>
        <v>763</v>
      </c>
      <c r="Y765" s="325" t="s">
        <v>2974</v>
      </c>
      <c r="Z765" t="str">
        <f>IFERROR(VLOOKUP(ROWS($Z$3:Z765),$X$3:$Y$992,2,0),"")</f>
        <v>Ostatní výzkum a vývoj voblasti přírodních atechnických věd</v>
      </c>
    </row>
    <row r="766" spans="13:26">
      <c r="M766" s="324">
        <f>IF(ISNUMBER(SEARCH(ZAKL_DATA!$B$29,N766)),MAX($M$2:M765)+1,0)</f>
        <v>764</v>
      </c>
      <c r="N766" s="325" t="s">
        <v>2976</v>
      </c>
      <c r="O766" s="340" t="s">
        <v>2977</v>
      </c>
      <c r="Q766" s="327" t="str">
        <f>IFERROR(VLOOKUP(ROWS($Q$3:Q766),$M$3:$N$992,2,0),"")</f>
        <v>Těžba ostatních neželezných rud</v>
      </c>
      <c r="R766">
        <f>IF(ISNUMBER(SEARCH('1Př1'!$A$32,N766)),MAX($M$2:M765)+1,0)</f>
        <v>764</v>
      </c>
      <c r="S766" s="325" t="s">
        <v>2976</v>
      </c>
      <c r="T766" t="str">
        <f>IFERROR(VLOOKUP(ROWS($T$3:T766),$R$3:$S$992,2,0),"")</f>
        <v>Těžba ostatních neželezných rud</v>
      </c>
      <c r="U766">
        <f>IF(ISNUMBER(SEARCH('1Př1'!$A$33,N766)),MAX($M$2:M765)+1,0)</f>
        <v>764</v>
      </c>
      <c r="V766" s="325" t="s">
        <v>2976</v>
      </c>
      <c r="W766" t="str">
        <f>IFERROR(VLOOKUP(ROWS($W$3:W766),$U$3:$V$992,2,0),"")</f>
        <v>Těžba ostatních neželezných rud</v>
      </c>
      <c r="X766">
        <f>IF(ISNUMBER(SEARCH('1Př1'!$A$34,N766)),MAX($M$2:M765)+1,0)</f>
        <v>764</v>
      </c>
      <c r="Y766" s="325" t="s">
        <v>2976</v>
      </c>
      <c r="Z766" t="str">
        <f>IFERROR(VLOOKUP(ROWS($Z$3:Z766),$X$3:$Y$992,2,0),"")</f>
        <v>Těžba ostatních neželezných rud</v>
      </c>
    </row>
    <row r="767" spans="13:26">
      <c r="M767" s="324">
        <f>IF(ISNUMBER(SEARCH(ZAKL_DATA!$B$29,N767)),MAX($M$2:M766)+1,0)</f>
        <v>765</v>
      </c>
      <c r="N767" s="325" t="s">
        <v>2978</v>
      </c>
      <c r="O767" s="340" t="s">
        <v>2979</v>
      </c>
      <c r="Q767" s="327" t="str">
        <f>IFERROR(VLOOKUP(ROWS($Q$3:Q767),$M$3:$N$992,2,0),"")</f>
        <v>Úprava ostatních neželezných rud</v>
      </c>
      <c r="R767">
        <f>IF(ISNUMBER(SEARCH('1Př1'!$A$32,N767)),MAX($M$2:M766)+1,0)</f>
        <v>765</v>
      </c>
      <c r="S767" s="325" t="s">
        <v>2978</v>
      </c>
      <c r="T767" t="str">
        <f>IFERROR(VLOOKUP(ROWS($T$3:T767),$R$3:$S$992,2,0),"")</f>
        <v>Úprava ostatních neželezných rud</v>
      </c>
      <c r="U767">
        <f>IF(ISNUMBER(SEARCH('1Př1'!$A$33,N767)),MAX($M$2:M766)+1,0)</f>
        <v>765</v>
      </c>
      <c r="V767" s="325" t="s">
        <v>2978</v>
      </c>
      <c r="W767" t="str">
        <f>IFERROR(VLOOKUP(ROWS($W$3:W767),$U$3:$V$992,2,0),"")</f>
        <v>Úprava ostatních neželezných rud</v>
      </c>
      <c r="X767">
        <f>IF(ISNUMBER(SEARCH('1Př1'!$A$34,N767)),MAX($M$2:M766)+1,0)</f>
        <v>765</v>
      </c>
      <c r="Y767" s="325" t="s">
        <v>2978</v>
      </c>
      <c r="Z767" t="str">
        <f>IFERROR(VLOOKUP(ROWS($Z$3:Z767),$X$3:$Y$992,2,0),"")</f>
        <v>Úprava ostatních neželezných rud</v>
      </c>
    </row>
    <row r="768" spans="13:26">
      <c r="M768" s="324">
        <f>IF(ISNUMBER(SEARCH(ZAKL_DATA!$B$29,N768)),MAX($M$2:M767)+1,0)</f>
        <v>766</v>
      </c>
      <c r="N768" s="325" t="s">
        <v>2980</v>
      </c>
      <c r="O768" s="340" t="s">
        <v>2981</v>
      </c>
      <c r="Q768" s="327" t="str">
        <f>IFERROR(VLOOKUP(ROWS($Q$3:Q768),$M$3:$N$992,2,0),"")</f>
        <v>Činnosti reklamních agentur</v>
      </c>
      <c r="R768">
        <f>IF(ISNUMBER(SEARCH('1Př1'!$A$32,N768)),MAX($M$2:M767)+1,0)</f>
        <v>766</v>
      </c>
      <c r="S768" s="325" t="s">
        <v>2980</v>
      </c>
      <c r="T768" t="str">
        <f>IFERROR(VLOOKUP(ROWS($T$3:T768),$R$3:$S$992,2,0),"")</f>
        <v>Činnosti reklamních agentur</v>
      </c>
      <c r="U768">
        <f>IF(ISNUMBER(SEARCH('1Př1'!$A$33,N768)),MAX($M$2:M767)+1,0)</f>
        <v>766</v>
      </c>
      <c r="V768" s="325" t="s">
        <v>2980</v>
      </c>
      <c r="W768" t="str">
        <f>IFERROR(VLOOKUP(ROWS($W$3:W768),$U$3:$V$992,2,0),"")</f>
        <v>Činnosti reklamních agentur</v>
      </c>
      <c r="X768">
        <f>IF(ISNUMBER(SEARCH('1Př1'!$A$34,N768)),MAX($M$2:M767)+1,0)</f>
        <v>766</v>
      </c>
      <c r="Y768" s="325" t="s">
        <v>2980</v>
      </c>
      <c r="Z768" t="str">
        <f>IFERROR(VLOOKUP(ROWS($Z$3:Z768),$X$3:$Y$992,2,0),"")</f>
        <v>Činnosti reklamních agentur</v>
      </c>
    </row>
    <row r="769" spans="13:26">
      <c r="M769" s="324">
        <f>IF(ISNUMBER(SEARCH(ZAKL_DATA!$B$29,N769)),MAX($M$2:M768)+1,0)</f>
        <v>767</v>
      </c>
      <c r="N769" s="325" t="s">
        <v>2982</v>
      </c>
      <c r="O769" s="340" t="s">
        <v>2983</v>
      </c>
      <c r="Q769" s="327" t="str">
        <f>IFERROR(VLOOKUP(ROWS($Q$3:Q769),$M$3:$N$992,2,0),"")</f>
        <v>Zastupování médií při prodeji reklamního času a prostoru</v>
      </c>
      <c r="R769">
        <f>IF(ISNUMBER(SEARCH('1Př1'!$A$32,N769)),MAX($M$2:M768)+1,0)</f>
        <v>767</v>
      </c>
      <c r="S769" s="325" t="s">
        <v>2982</v>
      </c>
      <c r="T769" t="str">
        <f>IFERROR(VLOOKUP(ROWS($T$3:T769),$R$3:$S$992,2,0),"")</f>
        <v>Zastupování médií při prodeji reklamního času a prostoru</v>
      </c>
      <c r="U769">
        <f>IF(ISNUMBER(SEARCH('1Př1'!$A$33,N769)),MAX($M$2:M768)+1,0)</f>
        <v>767</v>
      </c>
      <c r="V769" s="325" t="s">
        <v>2982</v>
      </c>
      <c r="W769" t="str">
        <f>IFERROR(VLOOKUP(ROWS($W$3:W769),$U$3:$V$992,2,0),"")</f>
        <v>Zastupování médií při prodeji reklamního času a prostoru</v>
      </c>
      <c r="X769">
        <f>IF(ISNUMBER(SEARCH('1Př1'!$A$34,N769)),MAX($M$2:M768)+1,0)</f>
        <v>767</v>
      </c>
      <c r="Y769" s="325" t="s">
        <v>2982</v>
      </c>
      <c r="Z769" t="str">
        <f>IFERROR(VLOOKUP(ROWS($Z$3:Z769),$X$3:$Y$992,2,0),"")</f>
        <v>Zastupování médií při prodeji reklamního času a prostoru</v>
      </c>
    </row>
    <row r="770" spans="13:26">
      <c r="M770" s="324">
        <f>IF(ISNUMBER(SEARCH(ZAKL_DATA!$B$29,N770)),MAX($M$2:M769)+1,0)</f>
        <v>768</v>
      </c>
      <c r="N770" s="325" t="s">
        <v>2984</v>
      </c>
      <c r="O770" s="340" t="s">
        <v>2985</v>
      </c>
      <c r="Q770" s="327" t="str">
        <f>IFERROR(VLOOKUP(ROWS($Q$3:Q770),$M$3:$N$992,2,0),"")</f>
        <v>Pronájem a leasing automob.a jiných lehkých motor.vozidel,kromě motocyklů</v>
      </c>
      <c r="R770">
        <f>IF(ISNUMBER(SEARCH('1Př1'!$A$32,N770)),MAX($M$2:M769)+1,0)</f>
        <v>768</v>
      </c>
      <c r="S770" s="325" t="s">
        <v>2984</v>
      </c>
      <c r="T770" t="str">
        <f>IFERROR(VLOOKUP(ROWS($T$3:T770),$R$3:$S$992,2,0),"")</f>
        <v>Pronájem a leasing automob.a jiných lehkých motor.vozidel,kromě motocyklů</v>
      </c>
      <c r="U770">
        <f>IF(ISNUMBER(SEARCH('1Př1'!$A$33,N770)),MAX($M$2:M769)+1,0)</f>
        <v>768</v>
      </c>
      <c r="V770" s="325" t="s">
        <v>2984</v>
      </c>
      <c r="W770" t="str">
        <f>IFERROR(VLOOKUP(ROWS($W$3:W770),$U$3:$V$992,2,0),"")</f>
        <v>Pronájem a leasing automob.a jiných lehkých motor.vozidel,kromě motocyklů</v>
      </c>
      <c r="X770">
        <f>IF(ISNUMBER(SEARCH('1Př1'!$A$34,N770)),MAX($M$2:M769)+1,0)</f>
        <v>768</v>
      </c>
      <c r="Y770" s="325" t="s">
        <v>2984</v>
      </c>
      <c r="Z770" t="str">
        <f>IFERROR(VLOOKUP(ROWS($Z$3:Z770),$X$3:$Y$992,2,0),"")</f>
        <v>Pronájem a leasing automob.a jiných lehkých motor.vozidel,kromě motocyklů</v>
      </c>
    </row>
    <row r="771" spans="13:26">
      <c r="M771" s="324">
        <f>IF(ISNUMBER(SEARCH(ZAKL_DATA!$B$29,N771)),MAX($M$2:M770)+1,0)</f>
        <v>769</v>
      </c>
      <c r="N771" s="325" t="s">
        <v>2986</v>
      </c>
      <c r="O771" s="340" t="s">
        <v>2987</v>
      </c>
      <c r="Q771" s="327" t="str">
        <f>IFERROR(VLOOKUP(ROWS($Q$3:Q771),$M$3:$N$992,2,0),"")</f>
        <v>Pronájem a leasing nákladních automobilů</v>
      </c>
      <c r="R771">
        <f>IF(ISNUMBER(SEARCH('1Př1'!$A$32,N771)),MAX($M$2:M770)+1,0)</f>
        <v>769</v>
      </c>
      <c r="S771" s="325" t="s">
        <v>2986</v>
      </c>
      <c r="T771" t="str">
        <f>IFERROR(VLOOKUP(ROWS($T$3:T771),$R$3:$S$992,2,0),"")</f>
        <v>Pronájem a leasing nákladních automobilů</v>
      </c>
      <c r="U771">
        <f>IF(ISNUMBER(SEARCH('1Př1'!$A$33,N771)),MAX($M$2:M770)+1,0)</f>
        <v>769</v>
      </c>
      <c r="V771" s="325" t="s">
        <v>2986</v>
      </c>
      <c r="W771" t="str">
        <f>IFERROR(VLOOKUP(ROWS($W$3:W771),$U$3:$V$992,2,0),"")</f>
        <v>Pronájem a leasing nákladních automobilů</v>
      </c>
      <c r="X771">
        <f>IF(ISNUMBER(SEARCH('1Př1'!$A$34,N771)),MAX($M$2:M770)+1,0)</f>
        <v>769</v>
      </c>
      <c r="Y771" s="325" t="s">
        <v>2986</v>
      </c>
      <c r="Z771" t="str">
        <f>IFERROR(VLOOKUP(ROWS($Z$3:Z771),$X$3:$Y$992,2,0),"")</f>
        <v>Pronájem a leasing nákladních automobilů</v>
      </c>
    </row>
    <row r="772" spans="13:26">
      <c r="M772" s="324">
        <f>IF(ISNUMBER(SEARCH(ZAKL_DATA!$B$29,N772)),MAX($M$2:M771)+1,0)</f>
        <v>770</v>
      </c>
      <c r="N772" s="325" t="s">
        <v>2988</v>
      </c>
      <c r="O772" s="340" t="s">
        <v>2989</v>
      </c>
      <c r="Q772" s="327" t="str">
        <f>IFERROR(VLOOKUP(ROWS($Q$3:Q772),$M$3:$N$992,2,0),"")</f>
        <v>Pronájem a leasing rekreačních a sportovních potřeb</v>
      </c>
      <c r="R772">
        <f>IF(ISNUMBER(SEARCH('1Př1'!$A$32,N772)),MAX($M$2:M771)+1,0)</f>
        <v>770</v>
      </c>
      <c r="S772" s="325" t="s">
        <v>2988</v>
      </c>
      <c r="T772" t="str">
        <f>IFERROR(VLOOKUP(ROWS($T$3:T772),$R$3:$S$992,2,0),"")</f>
        <v>Pronájem a leasing rekreačních a sportovních potřeb</v>
      </c>
      <c r="U772">
        <f>IF(ISNUMBER(SEARCH('1Př1'!$A$33,N772)),MAX($M$2:M771)+1,0)</f>
        <v>770</v>
      </c>
      <c r="V772" s="325" t="s">
        <v>2988</v>
      </c>
      <c r="W772" t="str">
        <f>IFERROR(VLOOKUP(ROWS($W$3:W772),$U$3:$V$992,2,0),"")</f>
        <v>Pronájem a leasing rekreačních a sportovních potřeb</v>
      </c>
      <c r="X772">
        <f>IF(ISNUMBER(SEARCH('1Př1'!$A$34,N772)),MAX($M$2:M771)+1,0)</f>
        <v>770</v>
      </c>
      <c r="Y772" s="325" t="s">
        <v>2988</v>
      </c>
      <c r="Z772" t="str">
        <f>IFERROR(VLOOKUP(ROWS($Z$3:Z772),$X$3:$Y$992,2,0),"")</f>
        <v>Pronájem a leasing rekreačních a sportovních potřeb</v>
      </c>
    </row>
    <row r="773" spans="13:26">
      <c r="M773" s="324">
        <f>IF(ISNUMBER(SEARCH(ZAKL_DATA!$B$29,N773)),MAX($M$2:M772)+1,0)</f>
        <v>771</v>
      </c>
      <c r="N773" s="325" t="s">
        <v>2990</v>
      </c>
      <c r="O773" s="340" t="s">
        <v>2991</v>
      </c>
      <c r="Q773" s="327" t="str">
        <f>IFERROR(VLOOKUP(ROWS($Q$3:Q773),$M$3:$N$992,2,0),"")</f>
        <v>Pronájem videokazet a disků</v>
      </c>
      <c r="R773">
        <f>IF(ISNUMBER(SEARCH('1Př1'!$A$32,N773)),MAX($M$2:M772)+1,0)</f>
        <v>771</v>
      </c>
      <c r="S773" s="325" t="s">
        <v>2990</v>
      </c>
      <c r="T773" t="str">
        <f>IFERROR(VLOOKUP(ROWS($T$3:T773),$R$3:$S$992,2,0),"")</f>
        <v>Pronájem videokazet a disků</v>
      </c>
      <c r="U773">
        <f>IF(ISNUMBER(SEARCH('1Př1'!$A$33,N773)),MAX($M$2:M772)+1,0)</f>
        <v>771</v>
      </c>
      <c r="V773" s="325" t="s">
        <v>2990</v>
      </c>
      <c r="W773" t="str">
        <f>IFERROR(VLOOKUP(ROWS($W$3:W773),$U$3:$V$992,2,0),"")</f>
        <v>Pronájem videokazet a disků</v>
      </c>
      <c r="X773">
        <f>IF(ISNUMBER(SEARCH('1Př1'!$A$34,N773)),MAX($M$2:M772)+1,0)</f>
        <v>771</v>
      </c>
      <c r="Y773" s="325" t="s">
        <v>2990</v>
      </c>
      <c r="Z773" t="str">
        <f>IFERROR(VLOOKUP(ROWS($Z$3:Z773),$X$3:$Y$992,2,0),"")</f>
        <v>Pronájem videokazet a disků</v>
      </c>
    </row>
    <row r="774" spans="13:26">
      <c r="M774" s="324">
        <f>IF(ISNUMBER(SEARCH(ZAKL_DATA!$B$29,N774)),MAX($M$2:M773)+1,0)</f>
        <v>772</v>
      </c>
      <c r="N774" s="325" t="s">
        <v>2992</v>
      </c>
      <c r="O774" s="340" t="s">
        <v>2993</v>
      </c>
      <c r="Q774" s="327" t="str">
        <f>IFERROR(VLOOKUP(ROWS($Q$3:Q774),$M$3:$N$992,2,0),"")</f>
        <v>Pronájem a leasing ost.výrobků pro osob.potřebu a převážně pro domácnost</v>
      </c>
      <c r="R774">
        <f>IF(ISNUMBER(SEARCH('1Př1'!$A$32,N774)),MAX($M$2:M773)+1,0)</f>
        <v>772</v>
      </c>
      <c r="S774" s="325" t="s">
        <v>2992</v>
      </c>
      <c r="T774" t="str">
        <f>IFERROR(VLOOKUP(ROWS($T$3:T774),$R$3:$S$992,2,0),"")</f>
        <v>Pronájem a leasing ost.výrobků pro osob.potřebu a převážně pro domácnost</v>
      </c>
      <c r="U774">
        <f>IF(ISNUMBER(SEARCH('1Př1'!$A$33,N774)),MAX($M$2:M773)+1,0)</f>
        <v>772</v>
      </c>
      <c r="V774" s="325" t="s">
        <v>2992</v>
      </c>
      <c r="W774" t="str">
        <f>IFERROR(VLOOKUP(ROWS($W$3:W774),$U$3:$V$992,2,0),"")</f>
        <v>Pronájem a leasing ost.výrobků pro osob.potřebu a převážně pro domácnost</v>
      </c>
      <c r="X774">
        <f>IF(ISNUMBER(SEARCH('1Př1'!$A$34,N774)),MAX($M$2:M773)+1,0)</f>
        <v>772</v>
      </c>
      <c r="Y774" s="325" t="s">
        <v>2992</v>
      </c>
      <c r="Z774" t="str">
        <f>IFERROR(VLOOKUP(ROWS($Z$3:Z774),$X$3:$Y$992,2,0),"")</f>
        <v>Pronájem a leasing ost.výrobků pro osob.potřebu a převážně pro domácnost</v>
      </c>
    </row>
    <row r="775" spans="13:26">
      <c r="M775" s="324">
        <f>IF(ISNUMBER(SEARCH(ZAKL_DATA!$B$29,N775)),MAX($M$2:M774)+1,0)</f>
        <v>773</v>
      </c>
      <c r="N775" s="325" t="s">
        <v>2994</v>
      </c>
      <c r="O775" s="340" t="s">
        <v>2995</v>
      </c>
      <c r="Q775" s="327" t="str">
        <f>IFERROR(VLOOKUP(ROWS($Q$3:Q775),$M$3:$N$992,2,0),"")</f>
        <v>Pronájem a leasing zemědělských strojů a zařízení</v>
      </c>
      <c r="R775">
        <f>IF(ISNUMBER(SEARCH('1Př1'!$A$32,N775)),MAX($M$2:M774)+1,0)</f>
        <v>773</v>
      </c>
      <c r="S775" s="325" t="s">
        <v>2994</v>
      </c>
      <c r="T775" t="str">
        <f>IFERROR(VLOOKUP(ROWS($T$3:T775),$R$3:$S$992,2,0),"")</f>
        <v>Pronájem a leasing zemědělských strojů a zařízení</v>
      </c>
      <c r="U775">
        <f>IF(ISNUMBER(SEARCH('1Př1'!$A$33,N775)),MAX($M$2:M774)+1,0)</f>
        <v>773</v>
      </c>
      <c r="V775" s="325" t="s">
        <v>2994</v>
      </c>
      <c r="W775" t="str">
        <f>IFERROR(VLOOKUP(ROWS($W$3:W775),$U$3:$V$992,2,0),"")</f>
        <v>Pronájem a leasing zemědělských strojů a zařízení</v>
      </c>
      <c r="X775">
        <f>IF(ISNUMBER(SEARCH('1Př1'!$A$34,N775)),MAX($M$2:M774)+1,0)</f>
        <v>773</v>
      </c>
      <c r="Y775" s="325" t="s">
        <v>2994</v>
      </c>
      <c r="Z775" t="str">
        <f>IFERROR(VLOOKUP(ROWS($Z$3:Z775),$X$3:$Y$992,2,0),"")</f>
        <v>Pronájem a leasing zemědělských strojů a zařízení</v>
      </c>
    </row>
    <row r="776" spans="13:26">
      <c r="M776" s="324">
        <f>IF(ISNUMBER(SEARCH(ZAKL_DATA!$B$29,N776)),MAX($M$2:M775)+1,0)</f>
        <v>774</v>
      </c>
      <c r="N776" s="325" t="s">
        <v>2996</v>
      </c>
      <c r="O776" s="340" t="s">
        <v>2997</v>
      </c>
      <c r="Q776" s="327" t="str">
        <f>IFERROR(VLOOKUP(ROWS($Q$3:Q776),$M$3:$N$992,2,0),"")</f>
        <v>Pronájem a leasing stavebních strojů a zařízení</v>
      </c>
      <c r="R776">
        <f>IF(ISNUMBER(SEARCH('1Př1'!$A$32,N776)),MAX($M$2:M775)+1,0)</f>
        <v>774</v>
      </c>
      <c r="S776" s="325" t="s">
        <v>2996</v>
      </c>
      <c r="T776" t="str">
        <f>IFERROR(VLOOKUP(ROWS($T$3:T776),$R$3:$S$992,2,0),"")</f>
        <v>Pronájem a leasing stavebních strojů a zařízení</v>
      </c>
      <c r="U776">
        <f>IF(ISNUMBER(SEARCH('1Př1'!$A$33,N776)),MAX($M$2:M775)+1,0)</f>
        <v>774</v>
      </c>
      <c r="V776" s="325" t="s">
        <v>2996</v>
      </c>
      <c r="W776" t="str">
        <f>IFERROR(VLOOKUP(ROWS($W$3:W776),$U$3:$V$992,2,0),"")</f>
        <v>Pronájem a leasing stavebních strojů a zařízení</v>
      </c>
      <c r="X776">
        <f>IF(ISNUMBER(SEARCH('1Př1'!$A$34,N776)),MAX($M$2:M775)+1,0)</f>
        <v>774</v>
      </c>
      <c r="Y776" s="325" t="s">
        <v>2996</v>
      </c>
      <c r="Z776" t="str">
        <f>IFERROR(VLOOKUP(ROWS($Z$3:Z776),$X$3:$Y$992,2,0),"")</f>
        <v>Pronájem a leasing stavebních strojů a zařízení</v>
      </c>
    </row>
    <row r="777" spans="13:26">
      <c r="M777" s="324">
        <f>IF(ISNUMBER(SEARCH(ZAKL_DATA!$B$29,N777)),MAX($M$2:M776)+1,0)</f>
        <v>775</v>
      </c>
      <c r="N777" s="325" t="s">
        <v>2998</v>
      </c>
      <c r="O777" s="340" t="s">
        <v>2999</v>
      </c>
      <c r="Q777" s="327" t="str">
        <f>IFERROR(VLOOKUP(ROWS($Q$3:Q777),$M$3:$N$992,2,0),"")</f>
        <v>Pronájem a leasing kancelářských strojů a zařízení, včetně počítačů</v>
      </c>
      <c r="R777">
        <f>IF(ISNUMBER(SEARCH('1Př1'!$A$32,N777)),MAX($M$2:M776)+1,0)</f>
        <v>775</v>
      </c>
      <c r="S777" s="325" t="s">
        <v>2998</v>
      </c>
      <c r="T777" t="str">
        <f>IFERROR(VLOOKUP(ROWS($T$3:T777),$R$3:$S$992,2,0),"")</f>
        <v>Pronájem a leasing kancelářských strojů a zařízení, včetně počítačů</v>
      </c>
      <c r="U777">
        <f>IF(ISNUMBER(SEARCH('1Př1'!$A$33,N777)),MAX($M$2:M776)+1,0)</f>
        <v>775</v>
      </c>
      <c r="V777" s="325" t="s">
        <v>2998</v>
      </c>
      <c r="W777" t="str">
        <f>IFERROR(VLOOKUP(ROWS($W$3:W777),$U$3:$V$992,2,0),"")</f>
        <v>Pronájem a leasing kancelářských strojů a zařízení, včetně počítačů</v>
      </c>
      <c r="X777">
        <f>IF(ISNUMBER(SEARCH('1Př1'!$A$34,N777)),MAX($M$2:M776)+1,0)</f>
        <v>775</v>
      </c>
      <c r="Y777" s="325" t="s">
        <v>2998</v>
      </c>
      <c r="Z777" t="str">
        <f>IFERROR(VLOOKUP(ROWS($Z$3:Z777),$X$3:$Y$992,2,0),"")</f>
        <v>Pronájem a leasing kancelářských strojů a zařízení, včetně počítačů</v>
      </c>
    </row>
    <row r="778" spans="13:26">
      <c r="M778" s="324">
        <f>IF(ISNUMBER(SEARCH(ZAKL_DATA!$B$29,N778)),MAX($M$2:M777)+1,0)</f>
        <v>776</v>
      </c>
      <c r="N778" s="325" t="s">
        <v>3000</v>
      </c>
      <c r="O778" s="340" t="s">
        <v>3001</v>
      </c>
      <c r="Q778" s="327" t="str">
        <f>IFERROR(VLOOKUP(ROWS($Q$3:Q778),$M$3:$N$992,2,0),"")</f>
        <v>Pronájem a leasing vodních dopravních prostředků</v>
      </c>
      <c r="R778">
        <f>IF(ISNUMBER(SEARCH('1Př1'!$A$32,N778)),MAX($M$2:M777)+1,0)</f>
        <v>776</v>
      </c>
      <c r="S778" s="325" t="s">
        <v>3000</v>
      </c>
      <c r="T778" t="str">
        <f>IFERROR(VLOOKUP(ROWS($T$3:T778),$R$3:$S$992,2,0),"")</f>
        <v>Pronájem a leasing vodních dopravních prostředků</v>
      </c>
      <c r="U778">
        <f>IF(ISNUMBER(SEARCH('1Př1'!$A$33,N778)),MAX($M$2:M777)+1,0)</f>
        <v>776</v>
      </c>
      <c r="V778" s="325" t="s">
        <v>3000</v>
      </c>
      <c r="W778" t="str">
        <f>IFERROR(VLOOKUP(ROWS($W$3:W778),$U$3:$V$992,2,0),"")</f>
        <v>Pronájem a leasing vodních dopravních prostředků</v>
      </c>
      <c r="X778">
        <f>IF(ISNUMBER(SEARCH('1Př1'!$A$34,N778)),MAX($M$2:M777)+1,0)</f>
        <v>776</v>
      </c>
      <c r="Y778" s="325" t="s">
        <v>3000</v>
      </c>
      <c r="Z778" t="str">
        <f>IFERROR(VLOOKUP(ROWS($Z$3:Z778),$X$3:$Y$992,2,0),"")</f>
        <v>Pronájem a leasing vodních dopravních prostředků</v>
      </c>
    </row>
    <row r="779" spans="13:26">
      <c r="M779" s="324">
        <f>IF(ISNUMBER(SEARCH(ZAKL_DATA!$B$29,N779)),MAX($M$2:M778)+1,0)</f>
        <v>777</v>
      </c>
      <c r="N779" s="325" t="s">
        <v>3002</v>
      </c>
      <c r="O779" s="340" t="s">
        <v>3003</v>
      </c>
      <c r="Q779" s="327" t="str">
        <f>IFERROR(VLOOKUP(ROWS($Q$3:Q779),$M$3:$N$992,2,0),"")</f>
        <v>Pronájem a leasing leteckých dopravních prostředků</v>
      </c>
      <c r="R779">
        <f>IF(ISNUMBER(SEARCH('1Př1'!$A$32,N779)),MAX($M$2:M778)+1,0)</f>
        <v>777</v>
      </c>
      <c r="S779" s="325" t="s">
        <v>3002</v>
      </c>
      <c r="T779" t="str">
        <f>IFERROR(VLOOKUP(ROWS($T$3:T779),$R$3:$S$992,2,0),"")</f>
        <v>Pronájem a leasing leteckých dopravních prostředků</v>
      </c>
      <c r="U779">
        <f>IF(ISNUMBER(SEARCH('1Př1'!$A$33,N779)),MAX($M$2:M778)+1,0)</f>
        <v>777</v>
      </c>
      <c r="V779" s="325" t="s">
        <v>3002</v>
      </c>
      <c r="W779" t="str">
        <f>IFERROR(VLOOKUP(ROWS($W$3:W779),$U$3:$V$992,2,0),"")</f>
        <v>Pronájem a leasing leteckých dopravních prostředků</v>
      </c>
      <c r="X779">
        <f>IF(ISNUMBER(SEARCH('1Př1'!$A$34,N779)),MAX($M$2:M778)+1,0)</f>
        <v>777</v>
      </c>
      <c r="Y779" s="325" t="s">
        <v>3002</v>
      </c>
      <c r="Z779" t="str">
        <f>IFERROR(VLOOKUP(ROWS($Z$3:Z779),$X$3:$Y$992,2,0),"")</f>
        <v>Pronájem a leasing leteckých dopravních prostředků</v>
      </c>
    </row>
    <row r="780" spans="13:26">
      <c r="M780" s="324">
        <f>IF(ISNUMBER(SEARCH(ZAKL_DATA!$B$29,N780)),MAX($M$2:M779)+1,0)</f>
        <v>778</v>
      </c>
      <c r="N780" s="325" t="s">
        <v>3004</v>
      </c>
      <c r="O780" s="340" t="s">
        <v>3005</v>
      </c>
      <c r="Q780" s="327" t="str">
        <f>IFERROR(VLOOKUP(ROWS($Q$3:Q780),$M$3:$N$992,2,0),"")</f>
        <v>Pronájem a leasing ostatních strojů, zařízení a výrobků j. n.</v>
      </c>
      <c r="R780">
        <f>IF(ISNUMBER(SEARCH('1Př1'!$A$32,N780)),MAX($M$2:M779)+1,0)</f>
        <v>778</v>
      </c>
      <c r="S780" s="325" t="s">
        <v>3004</v>
      </c>
      <c r="T780" t="str">
        <f>IFERROR(VLOOKUP(ROWS($T$3:T780),$R$3:$S$992,2,0),"")</f>
        <v>Pronájem a leasing ostatních strojů, zařízení a výrobků j. n.</v>
      </c>
      <c r="U780">
        <f>IF(ISNUMBER(SEARCH('1Př1'!$A$33,N780)),MAX($M$2:M779)+1,0)</f>
        <v>778</v>
      </c>
      <c r="V780" s="325" t="s">
        <v>3004</v>
      </c>
      <c r="W780" t="str">
        <f>IFERROR(VLOOKUP(ROWS($W$3:W780),$U$3:$V$992,2,0),"")</f>
        <v>Pronájem a leasing ostatních strojů, zařízení a výrobků j. n.</v>
      </c>
      <c r="X780">
        <f>IF(ISNUMBER(SEARCH('1Př1'!$A$34,N780)),MAX($M$2:M779)+1,0)</f>
        <v>778</v>
      </c>
      <c r="Y780" s="325" t="s">
        <v>3004</v>
      </c>
      <c r="Z780" t="str">
        <f>IFERROR(VLOOKUP(ROWS($Z$3:Z780),$X$3:$Y$992,2,0),"")</f>
        <v>Pronájem a leasing ostatních strojů, zařízení a výrobků j. n.</v>
      </c>
    </row>
    <row r="781" spans="13:26">
      <c r="M781" s="324">
        <f>IF(ISNUMBER(SEARCH(ZAKL_DATA!$B$29,N781)),MAX($M$2:M780)+1,0)</f>
        <v>779</v>
      </c>
      <c r="N781" s="325" t="s">
        <v>3006</v>
      </c>
      <c r="O781" s="340" t="s">
        <v>3007</v>
      </c>
      <c r="Q781" s="327" t="str">
        <f>IFERROR(VLOOKUP(ROWS($Q$3:Q781),$M$3:$N$992,2,0),"")</f>
        <v>Činnosti cestovních agentur</v>
      </c>
      <c r="R781">
        <f>IF(ISNUMBER(SEARCH('1Př1'!$A$32,N781)),MAX($M$2:M780)+1,0)</f>
        <v>779</v>
      </c>
      <c r="S781" s="325" t="s">
        <v>3006</v>
      </c>
      <c r="T781" t="str">
        <f>IFERROR(VLOOKUP(ROWS($T$3:T781),$R$3:$S$992,2,0),"")</f>
        <v>Činnosti cestovních agentur</v>
      </c>
      <c r="U781">
        <f>IF(ISNUMBER(SEARCH('1Př1'!$A$33,N781)),MAX($M$2:M780)+1,0)</f>
        <v>779</v>
      </c>
      <c r="V781" s="325" t="s">
        <v>3006</v>
      </c>
      <c r="W781" t="str">
        <f>IFERROR(VLOOKUP(ROWS($W$3:W781),$U$3:$V$992,2,0),"")</f>
        <v>Činnosti cestovních agentur</v>
      </c>
      <c r="X781">
        <f>IF(ISNUMBER(SEARCH('1Př1'!$A$34,N781)),MAX($M$2:M780)+1,0)</f>
        <v>779</v>
      </c>
      <c r="Y781" s="325" t="s">
        <v>3006</v>
      </c>
      <c r="Z781" t="str">
        <f>IFERROR(VLOOKUP(ROWS($Z$3:Z781),$X$3:$Y$992,2,0),"")</f>
        <v>Činnosti cestovních agentur</v>
      </c>
    </row>
    <row r="782" spans="13:26">
      <c r="M782" s="324">
        <f>IF(ISNUMBER(SEARCH(ZAKL_DATA!$B$29,N782)),MAX($M$2:M781)+1,0)</f>
        <v>780</v>
      </c>
      <c r="N782" s="325" t="s">
        <v>3008</v>
      </c>
      <c r="O782" s="340" t="s">
        <v>3009</v>
      </c>
      <c r="Q782" s="327" t="str">
        <f>IFERROR(VLOOKUP(ROWS($Q$3:Q782),$M$3:$N$992,2,0),"")</f>
        <v>Činnosti cestovních kanceláří</v>
      </c>
      <c r="R782">
        <f>IF(ISNUMBER(SEARCH('1Př1'!$A$32,N782)),MAX($M$2:M781)+1,0)</f>
        <v>780</v>
      </c>
      <c r="S782" s="325" t="s">
        <v>3008</v>
      </c>
      <c r="T782" t="str">
        <f>IFERROR(VLOOKUP(ROWS($T$3:T782),$R$3:$S$992,2,0),"")</f>
        <v>Činnosti cestovních kanceláří</v>
      </c>
      <c r="U782">
        <f>IF(ISNUMBER(SEARCH('1Př1'!$A$33,N782)),MAX($M$2:M781)+1,0)</f>
        <v>780</v>
      </c>
      <c r="V782" s="325" t="s">
        <v>3008</v>
      </c>
      <c r="W782" t="str">
        <f>IFERROR(VLOOKUP(ROWS($W$3:W782),$U$3:$V$992,2,0),"")</f>
        <v>Činnosti cestovních kanceláří</v>
      </c>
      <c r="X782">
        <f>IF(ISNUMBER(SEARCH('1Př1'!$A$34,N782)),MAX($M$2:M781)+1,0)</f>
        <v>780</v>
      </c>
      <c r="Y782" s="325" t="s">
        <v>3008</v>
      </c>
      <c r="Z782" t="str">
        <f>IFERROR(VLOOKUP(ROWS($Z$3:Z782),$X$3:$Y$992,2,0),"")</f>
        <v>Činnosti cestovních kanceláří</v>
      </c>
    </row>
    <row r="783" spans="13:26">
      <c r="M783" s="324">
        <f>IF(ISNUMBER(SEARCH(ZAKL_DATA!$B$29,N783)),MAX($M$2:M782)+1,0)</f>
        <v>781</v>
      </c>
      <c r="N783" s="325" t="s">
        <v>3010</v>
      </c>
      <c r="O783" s="340" t="s">
        <v>3011</v>
      </c>
      <c r="Q783" s="327" t="str">
        <f>IFERROR(VLOOKUP(ROWS($Q$3:Q783),$M$3:$N$992,2,0),"")</f>
        <v>Všeobecný úklid budov</v>
      </c>
      <c r="R783">
        <f>IF(ISNUMBER(SEARCH('1Př1'!$A$32,N783)),MAX($M$2:M782)+1,0)</f>
        <v>781</v>
      </c>
      <c r="S783" s="325" t="s">
        <v>3010</v>
      </c>
      <c r="T783" t="str">
        <f>IFERROR(VLOOKUP(ROWS($T$3:T783),$R$3:$S$992,2,0),"")</f>
        <v>Všeobecný úklid budov</v>
      </c>
      <c r="U783">
        <f>IF(ISNUMBER(SEARCH('1Př1'!$A$33,N783)),MAX($M$2:M782)+1,0)</f>
        <v>781</v>
      </c>
      <c r="V783" s="325" t="s">
        <v>3010</v>
      </c>
      <c r="W783" t="str">
        <f>IFERROR(VLOOKUP(ROWS($W$3:W783),$U$3:$V$992,2,0),"")</f>
        <v>Všeobecný úklid budov</v>
      </c>
      <c r="X783">
        <f>IF(ISNUMBER(SEARCH('1Př1'!$A$34,N783)),MAX($M$2:M782)+1,0)</f>
        <v>781</v>
      </c>
      <c r="Y783" s="325" t="s">
        <v>3010</v>
      </c>
      <c r="Z783" t="str">
        <f>IFERROR(VLOOKUP(ROWS($Z$3:Z783),$X$3:$Y$992,2,0),"")</f>
        <v>Všeobecný úklid budov</v>
      </c>
    </row>
    <row r="784" spans="13:26">
      <c r="M784" s="324">
        <f>IF(ISNUMBER(SEARCH(ZAKL_DATA!$B$29,N784)),MAX($M$2:M783)+1,0)</f>
        <v>782</v>
      </c>
      <c r="N784" s="325" t="s">
        <v>3012</v>
      </c>
      <c r="O784" s="340" t="s">
        <v>3013</v>
      </c>
      <c r="Q784" s="327" t="str">
        <f>IFERROR(VLOOKUP(ROWS($Q$3:Q784),$M$3:$N$992,2,0),"")</f>
        <v>Specializované čištění a úklid budov a průmyslových zařízení</v>
      </c>
      <c r="R784">
        <f>IF(ISNUMBER(SEARCH('1Př1'!$A$32,N784)),MAX($M$2:M783)+1,0)</f>
        <v>782</v>
      </c>
      <c r="S784" s="325" t="s">
        <v>3012</v>
      </c>
      <c r="T784" t="str">
        <f>IFERROR(VLOOKUP(ROWS($T$3:T784),$R$3:$S$992,2,0),"")</f>
        <v>Specializované čištění a úklid budov a průmyslových zařízení</v>
      </c>
      <c r="U784">
        <f>IF(ISNUMBER(SEARCH('1Př1'!$A$33,N784)),MAX($M$2:M783)+1,0)</f>
        <v>782</v>
      </c>
      <c r="V784" s="325" t="s">
        <v>3012</v>
      </c>
      <c r="W784" t="str">
        <f>IFERROR(VLOOKUP(ROWS($W$3:W784),$U$3:$V$992,2,0),"")</f>
        <v>Specializované čištění a úklid budov a průmyslových zařízení</v>
      </c>
      <c r="X784">
        <f>IF(ISNUMBER(SEARCH('1Př1'!$A$34,N784)),MAX($M$2:M783)+1,0)</f>
        <v>782</v>
      </c>
      <c r="Y784" s="325" t="s">
        <v>3012</v>
      </c>
      <c r="Z784" t="str">
        <f>IFERROR(VLOOKUP(ROWS($Z$3:Z784),$X$3:$Y$992,2,0),"")</f>
        <v>Specializované čištění a úklid budov a průmyslových zařízení</v>
      </c>
    </row>
    <row r="785" spans="13:26">
      <c r="M785" s="324">
        <f>IF(ISNUMBER(SEARCH(ZAKL_DATA!$B$29,N785)),MAX($M$2:M784)+1,0)</f>
        <v>783</v>
      </c>
      <c r="N785" s="325" t="s">
        <v>3014</v>
      </c>
      <c r="O785" s="340" t="s">
        <v>3015</v>
      </c>
      <c r="Q785" s="327" t="str">
        <f>IFERROR(VLOOKUP(ROWS($Q$3:Q785),$M$3:$N$992,2,0),"")</f>
        <v>Ostatní úklidové činnosti</v>
      </c>
      <c r="R785">
        <f>IF(ISNUMBER(SEARCH('1Př1'!$A$32,N785)),MAX($M$2:M784)+1,0)</f>
        <v>783</v>
      </c>
      <c r="S785" s="325" t="s">
        <v>3014</v>
      </c>
      <c r="T785" t="str">
        <f>IFERROR(VLOOKUP(ROWS($T$3:T785),$R$3:$S$992,2,0),"")</f>
        <v>Ostatní úklidové činnosti</v>
      </c>
      <c r="U785">
        <f>IF(ISNUMBER(SEARCH('1Př1'!$A$33,N785)),MAX($M$2:M784)+1,0)</f>
        <v>783</v>
      </c>
      <c r="V785" s="325" t="s">
        <v>3014</v>
      </c>
      <c r="W785" t="str">
        <f>IFERROR(VLOOKUP(ROWS($W$3:W785),$U$3:$V$992,2,0),"")</f>
        <v>Ostatní úklidové činnosti</v>
      </c>
      <c r="X785">
        <f>IF(ISNUMBER(SEARCH('1Př1'!$A$34,N785)),MAX($M$2:M784)+1,0)</f>
        <v>783</v>
      </c>
      <c r="Y785" s="325" t="s">
        <v>3014</v>
      </c>
      <c r="Z785" t="str">
        <f>IFERROR(VLOOKUP(ROWS($Z$3:Z785),$X$3:$Y$992,2,0),"")</f>
        <v>Ostatní úklidové činnosti</v>
      </c>
    </row>
    <row r="786" spans="13:26">
      <c r="M786" s="324">
        <f>IF(ISNUMBER(SEARCH(ZAKL_DATA!$B$29,N786)),MAX($M$2:M785)+1,0)</f>
        <v>784</v>
      </c>
      <c r="N786" s="325" t="s">
        <v>3016</v>
      </c>
      <c r="O786" s="340" t="s">
        <v>3017</v>
      </c>
      <c r="Q786" s="327" t="str">
        <f>IFERROR(VLOOKUP(ROWS($Q$3:Q786),$M$3:$N$992,2,0),"")</f>
        <v>Univerzální administrativní činnosti</v>
      </c>
      <c r="R786">
        <f>IF(ISNUMBER(SEARCH('1Př1'!$A$32,N786)),MAX($M$2:M785)+1,0)</f>
        <v>784</v>
      </c>
      <c r="S786" s="325" t="s">
        <v>3016</v>
      </c>
      <c r="T786" t="str">
        <f>IFERROR(VLOOKUP(ROWS($T$3:T786),$R$3:$S$992,2,0),"")</f>
        <v>Univerzální administrativní činnosti</v>
      </c>
      <c r="U786">
        <f>IF(ISNUMBER(SEARCH('1Př1'!$A$33,N786)),MAX($M$2:M785)+1,0)</f>
        <v>784</v>
      </c>
      <c r="V786" s="325" t="s">
        <v>3016</v>
      </c>
      <c r="W786" t="str">
        <f>IFERROR(VLOOKUP(ROWS($W$3:W786),$U$3:$V$992,2,0),"")</f>
        <v>Univerzální administrativní činnosti</v>
      </c>
      <c r="X786">
        <f>IF(ISNUMBER(SEARCH('1Př1'!$A$34,N786)),MAX($M$2:M785)+1,0)</f>
        <v>784</v>
      </c>
      <c r="Y786" s="325" t="s">
        <v>3016</v>
      </c>
      <c r="Z786" t="str">
        <f>IFERROR(VLOOKUP(ROWS($Z$3:Z786),$X$3:$Y$992,2,0),"")</f>
        <v>Univerzální administrativní činnosti</v>
      </c>
    </row>
    <row r="787" spans="13:26">
      <c r="M787" s="324">
        <f>IF(ISNUMBER(SEARCH(ZAKL_DATA!$B$29,N787)),MAX($M$2:M786)+1,0)</f>
        <v>785</v>
      </c>
      <c r="N787" s="325" t="s">
        <v>3018</v>
      </c>
      <c r="O787" s="340" t="s">
        <v>3019</v>
      </c>
      <c r="Q787" s="327" t="str">
        <f>IFERROR(VLOOKUP(ROWS($Q$3:Q787),$M$3:$N$992,2,0),"")</f>
        <v>Kopírování,příprava dokumentů a ost.specializ.kancel.podpůrné činnosti</v>
      </c>
      <c r="R787">
        <f>IF(ISNUMBER(SEARCH('1Př1'!$A$32,N787)),MAX($M$2:M786)+1,0)</f>
        <v>785</v>
      </c>
      <c r="S787" s="325" t="s">
        <v>3018</v>
      </c>
      <c r="T787" t="str">
        <f>IFERROR(VLOOKUP(ROWS($T$3:T787),$R$3:$S$992,2,0),"")</f>
        <v>Kopírování,příprava dokumentů a ost.specializ.kancel.podpůrné činnosti</v>
      </c>
      <c r="U787">
        <f>IF(ISNUMBER(SEARCH('1Př1'!$A$33,N787)),MAX($M$2:M786)+1,0)</f>
        <v>785</v>
      </c>
      <c r="V787" s="325" t="s">
        <v>3018</v>
      </c>
      <c r="W787" t="str">
        <f>IFERROR(VLOOKUP(ROWS($W$3:W787),$U$3:$V$992,2,0),"")</f>
        <v>Kopírování,příprava dokumentů a ost.specializ.kancel.podpůrné činnosti</v>
      </c>
      <c r="X787">
        <f>IF(ISNUMBER(SEARCH('1Př1'!$A$34,N787)),MAX($M$2:M786)+1,0)</f>
        <v>785</v>
      </c>
      <c r="Y787" s="325" t="s">
        <v>3018</v>
      </c>
      <c r="Z787" t="str">
        <f>IFERROR(VLOOKUP(ROWS($Z$3:Z787),$X$3:$Y$992,2,0),"")</f>
        <v>Kopírování,příprava dokumentů a ost.specializ.kancel.podpůrné činnosti</v>
      </c>
    </row>
    <row r="788" spans="13:26">
      <c r="M788" s="324">
        <f>IF(ISNUMBER(SEARCH(ZAKL_DATA!$B$29,N788)),MAX($M$2:M787)+1,0)</f>
        <v>786</v>
      </c>
      <c r="N788" s="325" t="s">
        <v>3020</v>
      </c>
      <c r="O788" s="340" t="s">
        <v>3021</v>
      </c>
      <c r="Q788" s="327" t="str">
        <f>IFERROR(VLOOKUP(ROWS($Q$3:Q788),$M$3:$N$992,2,0),"")</f>
        <v>Inkasní činnosti, ověřování solventnosti zákazníka</v>
      </c>
      <c r="R788">
        <f>IF(ISNUMBER(SEARCH('1Př1'!$A$32,N788)),MAX($M$2:M787)+1,0)</f>
        <v>786</v>
      </c>
      <c r="S788" s="325" t="s">
        <v>3020</v>
      </c>
      <c r="T788" t="str">
        <f>IFERROR(VLOOKUP(ROWS($T$3:T788),$R$3:$S$992,2,0),"")</f>
        <v>Inkasní činnosti, ověřování solventnosti zákazníka</v>
      </c>
      <c r="U788">
        <f>IF(ISNUMBER(SEARCH('1Př1'!$A$33,N788)),MAX($M$2:M787)+1,0)</f>
        <v>786</v>
      </c>
      <c r="V788" s="325" t="s">
        <v>3020</v>
      </c>
      <c r="W788" t="str">
        <f>IFERROR(VLOOKUP(ROWS($W$3:W788),$U$3:$V$992,2,0),"")</f>
        <v>Inkasní činnosti, ověřování solventnosti zákazníka</v>
      </c>
      <c r="X788">
        <f>IF(ISNUMBER(SEARCH('1Př1'!$A$34,N788)),MAX($M$2:M787)+1,0)</f>
        <v>786</v>
      </c>
      <c r="Y788" s="325" t="s">
        <v>3020</v>
      </c>
      <c r="Z788" t="str">
        <f>IFERROR(VLOOKUP(ROWS($Z$3:Z788),$X$3:$Y$992,2,0),"")</f>
        <v>Inkasní činnosti, ověřování solventnosti zákazníka</v>
      </c>
    </row>
    <row r="789" spans="13:26">
      <c r="M789" s="324">
        <f>IF(ISNUMBER(SEARCH(ZAKL_DATA!$B$29,N789)),MAX($M$2:M788)+1,0)</f>
        <v>787</v>
      </c>
      <c r="N789" s="325" t="s">
        <v>3022</v>
      </c>
      <c r="O789" s="340" t="s">
        <v>3023</v>
      </c>
      <c r="Q789" s="327" t="str">
        <f>IFERROR(VLOOKUP(ROWS($Q$3:Q789),$M$3:$N$992,2,0),"")</f>
        <v>Balicí činnosti</v>
      </c>
      <c r="R789">
        <f>IF(ISNUMBER(SEARCH('1Př1'!$A$32,N789)),MAX($M$2:M788)+1,0)</f>
        <v>787</v>
      </c>
      <c r="S789" s="325" t="s">
        <v>3022</v>
      </c>
      <c r="T789" t="str">
        <f>IFERROR(VLOOKUP(ROWS($T$3:T789),$R$3:$S$992,2,0),"")</f>
        <v>Balicí činnosti</v>
      </c>
      <c r="U789">
        <f>IF(ISNUMBER(SEARCH('1Př1'!$A$33,N789)),MAX($M$2:M788)+1,0)</f>
        <v>787</v>
      </c>
      <c r="V789" s="325" t="s">
        <v>3022</v>
      </c>
      <c r="W789" t="str">
        <f>IFERROR(VLOOKUP(ROWS($W$3:W789),$U$3:$V$992,2,0),"")</f>
        <v>Balicí činnosti</v>
      </c>
      <c r="X789">
        <f>IF(ISNUMBER(SEARCH('1Př1'!$A$34,N789)),MAX($M$2:M788)+1,0)</f>
        <v>787</v>
      </c>
      <c r="Y789" s="325" t="s">
        <v>3022</v>
      </c>
      <c r="Z789" t="str">
        <f>IFERROR(VLOOKUP(ROWS($Z$3:Z789),$X$3:$Y$992,2,0),"")</f>
        <v>Balicí činnosti</v>
      </c>
    </row>
    <row r="790" spans="13:26">
      <c r="M790" s="324">
        <f>IF(ISNUMBER(SEARCH(ZAKL_DATA!$B$29,N790)),MAX($M$2:M789)+1,0)</f>
        <v>788</v>
      </c>
      <c r="N790" s="325" t="s">
        <v>3024</v>
      </c>
      <c r="O790" s="340" t="s">
        <v>3025</v>
      </c>
      <c r="Q790" s="327" t="str">
        <f>IFERROR(VLOOKUP(ROWS($Q$3:Q790),$M$3:$N$992,2,0),"")</f>
        <v>Ostatní podpůrné činnosti pro podnikání j. n.</v>
      </c>
      <c r="R790">
        <f>IF(ISNUMBER(SEARCH('1Př1'!$A$32,N790)),MAX($M$2:M789)+1,0)</f>
        <v>788</v>
      </c>
      <c r="S790" s="325" t="s">
        <v>3024</v>
      </c>
      <c r="T790" t="str">
        <f>IFERROR(VLOOKUP(ROWS($T$3:T790),$R$3:$S$992,2,0),"")</f>
        <v>Ostatní podpůrné činnosti pro podnikání j. n.</v>
      </c>
      <c r="U790">
        <f>IF(ISNUMBER(SEARCH('1Př1'!$A$33,N790)),MAX($M$2:M789)+1,0)</f>
        <v>788</v>
      </c>
      <c r="V790" s="325" t="s">
        <v>3024</v>
      </c>
      <c r="W790" t="str">
        <f>IFERROR(VLOOKUP(ROWS($W$3:W790),$U$3:$V$992,2,0),"")</f>
        <v>Ostatní podpůrné činnosti pro podnikání j. n.</v>
      </c>
      <c r="X790">
        <f>IF(ISNUMBER(SEARCH('1Př1'!$A$34,N790)),MAX($M$2:M789)+1,0)</f>
        <v>788</v>
      </c>
      <c r="Y790" s="325" t="s">
        <v>3024</v>
      </c>
      <c r="Z790" t="str">
        <f>IFERROR(VLOOKUP(ROWS($Z$3:Z790),$X$3:$Y$992,2,0),"")</f>
        <v>Ostatní podpůrné činnosti pro podnikání j. n.</v>
      </c>
    </row>
    <row r="791" spans="13:26">
      <c r="M791" s="324">
        <f>IF(ISNUMBER(SEARCH(ZAKL_DATA!$B$29,N791)),MAX($M$2:M790)+1,0)</f>
        <v>789</v>
      </c>
      <c r="N791" s="325" t="s">
        <v>3026</v>
      </c>
      <c r="O791" s="340" t="s">
        <v>3027</v>
      </c>
      <c r="Q791" s="327" t="str">
        <f>IFERROR(VLOOKUP(ROWS($Q$3:Q791),$M$3:$N$992,2,0),"")</f>
        <v>Všeobecné činnosti veřejné správy</v>
      </c>
      <c r="R791">
        <f>IF(ISNUMBER(SEARCH('1Př1'!$A$32,N791)),MAX($M$2:M790)+1,0)</f>
        <v>789</v>
      </c>
      <c r="S791" s="325" t="s">
        <v>3026</v>
      </c>
      <c r="T791" t="str">
        <f>IFERROR(VLOOKUP(ROWS($T$3:T791),$R$3:$S$992,2,0),"")</f>
        <v>Všeobecné činnosti veřejné správy</v>
      </c>
      <c r="U791">
        <f>IF(ISNUMBER(SEARCH('1Př1'!$A$33,N791)),MAX($M$2:M790)+1,0)</f>
        <v>789</v>
      </c>
      <c r="V791" s="325" t="s">
        <v>3026</v>
      </c>
      <c r="W791" t="str">
        <f>IFERROR(VLOOKUP(ROWS($W$3:W791),$U$3:$V$992,2,0),"")</f>
        <v>Všeobecné činnosti veřejné správy</v>
      </c>
      <c r="X791">
        <f>IF(ISNUMBER(SEARCH('1Př1'!$A$34,N791)),MAX($M$2:M790)+1,0)</f>
        <v>789</v>
      </c>
      <c r="Y791" s="325" t="s">
        <v>3026</v>
      </c>
      <c r="Z791" t="str">
        <f>IFERROR(VLOOKUP(ROWS($Z$3:Z791),$X$3:$Y$992,2,0),"")</f>
        <v>Všeobecné činnosti veřejné správy</v>
      </c>
    </row>
    <row r="792" spans="13:26">
      <c r="M792" s="324">
        <f>IF(ISNUMBER(SEARCH(ZAKL_DATA!$B$29,N792)),MAX($M$2:M791)+1,0)</f>
        <v>790</v>
      </c>
      <c r="N792" s="325" t="s">
        <v>3028</v>
      </c>
      <c r="O792" s="340" t="s">
        <v>3029</v>
      </c>
      <c r="Q792" s="327" t="str">
        <f>IFERROR(VLOOKUP(ROWS($Q$3:Q792),$M$3:$N$992,2,0),"")</f>
        <v>Regul.čin.souvis.s poskyt.zdr.péče,vzděl.,kulturou a soc.péčí,kromě soc.z.</v>
      </c>
      <c r="R792">
        <f>IF(ISNUMBER(SEARCH('1Př1'!$A$32,N792)),MAX($M$2:M791)+1,0)</f>
        <v>790</v>
      </c>
      <c r="S792" s="325" t="s">
        <v>3028</v>
      </c>
      <c r="T792" t="str">
        <f>IFERROR(VLOOKUP(ROWS($T$3:T792),$R$3:$S$992,2,0),"")</f>
        <v>Regul.čin.souvis.s poskyt.zdr.péče,vzděl.,kulturou a soc.péčí,kromě soc.z.</v>
      </c>
      <c r="U792">
        <f>IF(ISNUMBER(SEARCH('1Př1'!$A$33,N792)),MAX($M$2:M791)+1,0)</f>
        <v>790</v>
      </c>
      <c r="V792" s="325" t="s">
        <v>3028</v>
      </c>
      <c r="W792" t="str">
        <f>IFERROR(VLOOKUP(ROWS($W$3:W792),$U$3:$V$992,2,0),"")</f>
        <v>Regul.čin.souvis.s poskyt.zdr.péče,vzděl.,kulturou a soc.péčí,kromě soc.z.</v>
      </c>
      <c r="X792">
        <f>IF(ISNUMBER(SEARCH('1Př1'!$A$34,N792)),MAX($M$2:M791)+1,0)</f>
        <v>790</v>
      </c>
      <c r="Y792" s="325" t="s">
        <v>3028</v>
      </c>
      <c r="Z792" t="str">
        <f>IFERROR(VLOOKUP(ROWS($Z$3:Z792),$X$3:$Y$992,2,0),"")</f>
        <v>Regul.čin.souvis.s poskyt.zdr.péče,vzděl.,kulturou a soc.péčí,kromě soc.z.</v>
      </c>
    </row>
    <row r="793" spans="13:26">
      <c r="M793" s="324">
        <f>IF(ISNUMBER(SEARCH(ZAKL_DATA!$B$29,N793)),MAX($M$2:M792)+1,0)</f>
        <v>791</v>
      </c>
      <c r="N793" s="325" t="s">
        <v>3030</v>
      </c>
      <c r="O793" s="340" t="s">
        <v>3031</v>
      </c>
      <c r="Q793" s="327" t="str">
        <f>IFERROR(VLOOKUP(ROWS($Q$3:Q793),$M$3:$N$992,2,0),"")</f>
        <v>Regulace a podpora podnikatelského prostředí</v>
      </c>
      <c r="R793">
        <f>IF(ISNUMBER(SEARCH('1Př1'!$A$32,N793)),MAX($M$2:M792)+1,0)</f>
        <v>791</v>
      </c>
      <c r="S793" s="325" t="s">
        <v>3030</v>
      </c>
      <c r="T793" t="str">
        <f>IFERROR(VLOOKUP(ROWS($T$3:T793),$R$3:$S$992,2,0),"")</f>
        <v>Regulace a podpora podnikatelského prostředí</v>
      </c>
      <c r="U793">
        <f>IF(ISNUMBER(SEARCH('1Př1'!$A$33,N793)),MAX($M$2:M792)+1,0)</f>
        <v>791</v>
      </c>
      <c r="V793" s="325" t="s">
        <v>3030</v>
      </c>
      <c r="W793" t="str">
        <f>IFERROR(VLOOKUP(ROWS($W$3:W793),$U$3:$V$992,2,0),"")</f>
        <v>Regulace a podpora podnikatelského prostředí</v>
      </c>
      <c r="X793">
        <f>IF(ISNUMBER(SEARCH('1Př1'!$A$34,N793)),MAX($M$2:M792)+1,0)</f>
        <v>791</v>
      </c>
      <c r="Y793" s="325" t="s">
        <v>3030</v>
      </c>
      <c r="Z793" t="str">
        <f>IFERROR(VLOOKUP(ROWS($Z$3:Z793),$X$3:$Y$992,2,0),"")</f>
        <v>Regulace a podpora podnikatelského prostředí</v>
      </c>
    </row>
    <row r="794" spans="13:26">
      <c r="M794" s="324">
        <f>IF(ISNUMBER(SEARCH(ZAKL_DATA!$B$29,N794)),MAX($M$2:M793)+1,0)</f>
        <v>792</v>
      </c>
      <c r="N794" s="325" t="s">
        <v>3032</v>
      </c>
      <c r="O794" s="340" t="s">
        <v>3033</v>
      </c>
      <c r="Q794" s="327" t="str">
        <f>IFERROR(VLOOKUP(ROWS($Q$3:Q794),$M$3:$N$992,2,0),"")</f>
        <v>Činnosti v oblasti zahraničních věcí</v>
      </c>
      <c r="R794">
        <f>IF(ISNUMBER(SEARCH('1Př1'!$A$32,N794)),MAX($M$2:M793)+1,0)</f>
        <v>792</v>
      </c>
      <c r="S794" s="325" t="s">
        <v>3032</v>
      </c>
      <c r="T794" t="str">
        <f>IFERROR(VLOOKUP(ROWS($T$3:T794),$R$3:$S$992,2,0),"")</f>
        <v>Činnosti v oblasti zahraničních věcí</v>
      </c>
      <c r="U794">
        <f>IF(ISNUMBER(SEARCH('1Př1'!$A$33,N794)),MAX($M$2:M793)+1,0)</f>
        <v>792</v>
      </c>
      <c r="V794" s="325" t="s">
        <v>3032</v>
      </c>
      <c r="W794" t="str">
        <f>IFERROR(VLOOKUP(ROWS($W$3:W794),$U$3:$V$992,2,0),"")</f>
        <v>Činnosti v oblasti zahraničních věcí</v>
      </c>
      <c r="X794">
        <f>IF(ISNUMBER(SEARCH('1Př1'!$A$34,N794)),MAX($M$2:M793)+1,0)</f>
        <v>792</v>
      </c>
      <c r="Y794" s="325" t="s">
        <v>3032</v>
      </c>
      <c r="Z794" t="str">
        <f>IFERROR(VLOOKUP(ROWS($Z$3:Z794),$X$3:$Y$992,2,0),"")</f>
        <v>Činnosti v oblasti zahraničních věcí</v>
      </c>
    </row>
    <row r="795" spans="13:26">
      <c r="M795" s="324">
        <f>IF(ISNUMBER(SEARCH(ZAKL_DATA!$B$29,N795)),MAX($M$2:M794)+1,0)</f>
        <v>793</v>
      </c>
      <c r="N795" s="325" t="s">
        <v>3034</v>
      </c>
      <c r="O795" s="340" t="s">
        <v>3035</v>
      </c>
      <c r="Q795" s="327" t="str">
        <f>IFERROR(VLOOKUP(ROWS($Q$3:Q795),$M$3:$N$992,2,0),"")</f>
        <v>Činnosti v oblasti obrany</v>
      </c>
      <c r="R795">
        <f>IF(ISNUMBER(SEARCH('1Př1'!$A$32,N795)),MAX($M$2:M794)+1,0)</f>
        <v>793</v>
      </c>
      <c r="S795" s="325" t="s">
        <v>3034</v>
      </c>
      <c r="T795" t="str">
        <f>IFERROR(VLOOKUP(ROWS($T$3:T795),$R$3:$S$992,2,0),"")</f>
        <v>Činnosti v oblasti obrany</v>
      </c>
      <c r="U795">
        <f>IF(ISNUMBER(SEARCH('1Př1'!$A$33,N795)),MAX($M$2:M794)+1,0)</f>
        <v>793</v>
      </c>
      <c r="V795" s="325" t="s">
        <v>3034</v>
      </c>
      <c r="W795" t="str">
        <f>IFERROR(VLOOKUP(ROWS($W$3:W795),$U$3:$V$992,2,0),"")</f>
        <v>Činnosti v oblasti obrany</v>
      </c>
      <c r="X795">
        <f>IF(ISNUMBER(SEARCH('1Př1'!$A$34,N795)),MAX($M$2:M794)+1,0)</f>
        <v>793</v>
      </c>
      <c r="Y795" s="325" t="s">
        <v>3034</v>
      </c>
      <c r="Z795" t="str">
        <f>IFERROR(VLOOKUP(ROWS($Z$3:Z795),$X$3:$Y$992,2,0),"")</f>
        <v>Činnosti v oblasti obrany</v>
      </c>
    </row>
    <row r="796" spans="13:26">
      <c r="M796" s="324">
        <f>IF(ISNUMBER(SEARCH(ZAKL_DATA!$B$29,N796)),MAX($M$2:M795)+1,0)</f>
        <v>794</v>
      </c>
      <c r="N796" s="325" t="s">
        <v>3036</v>
      </c>
      <c r="O796" s="340" t="s">
        <v>3037</v>
      </c>
      <c r="Q796" s="327" t="str">
        <f>IFERROR(VLOOKUP(ROWS($Q$3:Q796),$M$3:$N$992,2,0),"")</f>
        <v>Činnosti v oblasti spravedlnosti a soudnictví</v>
      </c>
      <c r="R796">
        <f>IF(ISNUMBER(SEARCH('1Př1'!$A$32,N796)),MAX($M$2:M795)+1,0)</f>
        <v>794</v>
      </c>
      <c r="S796" s="325" t="s">
        <v>3036</v>
      </c>
      <c r="T796" t="str">
        <f>IFERROR(VLOOKUP(ROWS($T$3:T796),$R$3:$S$992,2,0),"")</f>
        <v>Činnosti v oblasti spravedlnosti a soudnictví</v>
      </c>
      <c r="U796">
        <f>IF(ISNUMBER(SEARCH('1Př1'!$A$33,N796)),MAX($M$2:M795)+1,0)</f>
        <v>794</v>
      </c>
      <c r="V796" s="325" t="s">
        <v>3036</v>
      </c>
      <c r="W796" t="str">
        <f>IFERROR(VLOOKUP(ROWS($W$3:W796),$U$3:$V$992,2,0),"")</f>
        <v>Činnosti v oblasti spravedlnosti a soudnictví</v>
      </c>
      <c r="X796">
        <f>IF(ISNUMBER(SEARCH('1Př1'!$A$34,N796)),MAX($M$2:M795)+1,0)</f>
        <v>794</v>
      </c>
      <c r="Y796" s="325" t="s">
        <v>3036</v>
      </c>
      <c r="Z796" t="str">
        <f>IFERROR(VLOOKUP(ROWS($Z$3:Z796),$X$3:$Y$992,2,0),"")</f>
        <v>Činnosti v oblasti spravedlnosti a soudnictví</v>
      </c>
    </row>
    <row r="797" spans="13:26">
      <c r="M797" s="324">
        <f>IF(ISNUMBER(SEARCH(ZAKL_DATA!$B$29,N797)),MAX($M$2:M796)+1,0)</f>
        <v>795</v>
      </c>
      <c r="N797" s="325" t="s">
        <v>3038</v>
      </c>
      <c r="O797" s="340" t="s">
        <v>3039</v>
      </c>
      <c r="Q797" s="327" t="str">
        <f>IFERROR(VLOOKUP(ROWS($Q$3:Q797),$M$3:$N$992,2,0),"")</f>
        <v>Činnosti v oblasti veřejného pořádku a bezpečnosti</v>
      </c>
      <c r="R797">
        <f>IF(ISNUMBER(SEARCH('1Př1'!$A$32,N797)),MAX($M$2:M796)+1,0)</f>
        <v>795</v>
      </c>
      <c r="S797" s="325" t="s">
        <v>3038</v>
      </c>
      <c r="T797" t="str">
        <f>IFERROR(VLOOKUP(ROWS($T$3:T797),$R$3:$S$992,2,0),"")</f>
        <v>Činnosti v oblasti veřejného pořádku a bezpečnosti</v>
      </c>
      <c r="U797">
        <f>IF(ISNUMBER(SEARCH('1Př1'!$A$33,N797)),MAX($M$2:M796)+1,0)</f>
        <v>795</v>
      </c>
      <c r="V797" s="325" t="s">
        <v>3038</v>
      </c>
      <c r="W797" t="str">
        <f>IFERROR(VLOOKUP(ROWS($W$3:W797),$U$3:$V$992,2,0),"")</f>
        <v>Činnosti v oblasti veřejného pořádku a bezpečnosti</v>
      </c>
      <c r="X797">
        <f>IF(ISNUMBER(SEARCH('1Př1'!$A$34,N797)),MAX($M$2:M796)+1,0)</f>
        <v>795</v>
      </c>
      <c r="Y797" s="325" t="s">
        <v>3038</v>
      </c>
      <c r="Z797" t="str">
        <f>IFERROR(VLOOKUP(ROWS($Z$3:Z797),$X$3:$Y$992,2,0),"")</f>
        <v>Činnosti v oblasti veřejného pořádku a bezpečnosti</v>
      </c>
    </row>
    <row r="798" spans="13:26">
      <c r="M798" s="324">
        <f>IF(ISNUMBER(SEARCH(ZAKL_DATA!$B$29,N798)),MAX($M$2:M797)+1,0)</f>
        <v>796</v>
      </c>
      <c r="N798" s="325" t="s">
        <v>3040</v>
      </c>
      <c r="O798" s="340" t="s">
        <v>3041</v>
      </c>
      <c r="Q798" s="327" t="str">
        <f>IFERROR(VLOOKUP(ROWS($Q$3:Q798),$M$3:$N$992,2,0),"")</f>
        <v>Činnosti v oblasti protipožární ochrany</v>
      </c>
      <c r="R798">
        <f>IF(ISNUMBER(SEARCH('1Př1'!$A$32,N798)),MAX($M$2:M797)+1,0)</f>
        <v>796</v>
      </c>
      <c r="S798" s="325" t="s">
        <v>3040</v>
      </c>
      <c r="T798" t="str">
        <f>IFERROR(VLOOKUP(ROWS($T$3:T798),$R$3:$S$992,2,0),"")</f>
        <v>Činnosti v oblasti protipožární ochrany</v>
      </c>
      <c r="U798">
        <f>IF(ISNUMBER(SEARCH('1Př1'!$A$33,N798)),MAX($M$2:M797)+1,0)</f>
        <v>796</v>
      </c>
      <c r="V798" s="325" t="s">
        <v>3040</v>
      </c>
      <c r="W798" t="str">
        <f>IFERROR(VLOOKUP(ROWS($W$3:W798),$U$3:$V$992,2,0),"")</f>
        <v>Činnosti v oblasti protipožární ochrany</v>
      </c>
      <c r="X798">
        <f>IF(ISNUMBER(SEARCH('1Př1'!$A$34,N798)),MAX($M$2:M797)+1,0)</f>
        <v>796</v>
      </c>
      <c r="Y798" s="325" t="s">
        <v>3040</v>
      </c>
      <c r="Z798" t="str">
        <f>IFERROR(VLOOKUP(ROWS($Z$3:Z798),$X$3:$Y$992,2,0),"")</f>
        <v>Činnosti v oblasti protipožární ochrany</v>
      </c>
    </row>
    <row r="799" spans="13:26">
      <c r="M799" s="324">
        <f>IF(ISNUMBER(SEARCH(ZAKL_DATA!$B$29,N799)),MAX($M$2:M798)+1,0)</f>
        <v>797</v>
      </c>
      <c r="N799" s="325" t="s">
        <v>3042</v>
      </c>
      <c r="O799" s="340" t="s">
        <v>3043</v>
      </c>
      <c r="Q799" s="327" t="str">
        <f>IFERROR(VLOOKUP(ROWS($Q$3:Q799),$M$3:$N$992,2,0),"")</f>
        <v>Sekundární všeobecné vzdělávání</v>
      </c>
      <c r="R799">
        <f>IF(ISNUMBER(SEARCH('1Př1'!$A$32,N799)),MAX($M$2:M798)+1,0)</f>
        <v>797</v>
      </c>
      <c r="S799" s="325" t="s">
        <v>3042</v>
      </c>
      <c r="T799" t="str">
        <f>IFERROR(VLOOKUP(ROWS($T$3:T799),$R$3:$S$992,2,0),"")</f>
        <v>Sekundární všeobecné vzdělávání</v>
      </c>
      <c r="U799">
        <f>IF(ISNUMBER(SEARCH('1Př1'!$A$33,N799)),MAX($M$2:M798)+1,0)</f>
        <v>797</v>
      </c>
      <c r="V799" s="325" t="s">
        <v>3042</v>
      </c>
      <c r="W799" t="str">
        <f>IFERROR(VLOOKUP(ROWS($W$3:W799),$U$3:$V$992,2,0),"")</f>
        <v>Sekundární všeobecné vzdělávání</v>
      </c>
      <c r="X799">
        <f>IF(ISNUMBER(SEARCH('1Př1'!$A$34,N799)),MAX($M$2:M798)+1,0)</f>
        <v>797</v>
      </c>
      <c r="Y799" s="325" t="s">
        <v>3042</v>
      </c>
      <c r="Z799" t="str">
        <f>IFERROR(VLOOKUP(ROWS($Z$3:Z799),$X$3:$Y$992,2,0),"")</f>
        <v>Sekundární všeobecné vzdělávání</v>
      </c>
    </row>
    <row r="800" spans="13:26">
      <c r="M800" s="324">
        <f>IF(ISNUMBER(SEARCH(ZAKL_DATA!$B$29,N800)),MAX($M$2:M799)+1,0)</f>
        <v>798</v>
      </c>
      <c r="N800" s="325" t="s">
        <v>3044</v>
      </c>
      <c r="O800" s="340" t="s">
        <v>3045</v>
      </c>
      <c r="Q800" s="327" t="str">
        <f>IFERROR(VLOOKUP(ROWS($Q$3:Q800),$M$3:$N$992,2,0),"")</f>
        <v>Sekundární odborné vzdělávání</v>
      </c>
      <c r="R800">
        <f>IF(ISNUMBER(SEARCH('1Př1'!$A$32,N800)),MAX($M$2:M799)+1,0)</f>
        <v>798</v>
      </c>
      <c r="S800" s="325" t="s">
        <v>3044</v>
      </c>
      <c r="T800" t="str">
        <f>IFERROR(VLOOKUP(ROWS($T$3:T800),$R$3:$S$992,2,0),"")</f>
        <v>Sekundární odborné vzdělávání</v>
      </c>
      <c r="U800">
        <f>IF(ISNUMBER(SEARCH('1Př1'!$A$33,N800)),MAX($M$2:M799)+1,0)</f>
        <v>798</v>
      </c>
      <c r="V800" s="325" t="s">
        <v>3044</v>
      </c>
      <c r="W800" t="str">
        <f>IFERROR(VLOOKUP(ROWS($W$3:W800),$U$3:$V$992,2,0),"")</f>
        <v>Sekundární odborné vzdělávání</v>
      </c>
      <c r="X800">
        <f>IF(ISNUMBER(SEARCH('1Př1'!$A$34,N800)),MAX($M$2:M799)+1,0)</f>
        <v>798</v>
      </c>
      <c r="Y800" s="325" t="s">
        <v>3044</v>
      </c>
      <c r="Z800" t="str">
        <f>IFERROR(VLOOKUP(ROWS($Z$3:Z800),$X$3:$Y$992,2,0),"")</f>
        <v>Sekundární odborné vzdělávání</v>
      </c>
    </row>
    <row r="801" spans="13:26">
      <c r="M801" s="324">
        <f>IF(ISNUMBER(SEARCH(ZAKL_DATA!$B$29,N801)),MAX($M$2:M800)+1,0)</f>
        <v>799</v>
      </c>
      <c r="N801" s="325" t="s">
        <v>3046</v>
      </c>
      <c r="O801" s="340" t="s">
        <v>3047</v>
      </c>
      <c r="Q801" s="327" t="str">
        <f>IFERROR(VLOOKUP(ROWS($Q$3:Q801),$M$3:$N$992,2,0),"")</f>
        <v>Postsekundární nikoli terciární vzdělávání</v>
      </c>
      <c r="R801">
        <f>IF(ISNUMBER(SEARCH('1Př1'!$A$32,N801)),MAX($M$2:M800)+1,0)</f>
        <v>799</v>
      </c>
      <c r="S801" s="325" t="s">
        <v>3046</v>
      </c>
      <c r="T801" t="str">
        <f>IFERROR(VLOOKUP(ROWS($T$3:T801),$R$3:$S$992,2,0),"")</f>
        <v>Postsekundární nikoli terciární vzdělávání</v>
      </c>
      <c r="U801">
        <f>IF(ISNUMBER(SEARCH('1Př1'!$A$33,N801)),MAX($M$2:M800)+1,0)</f>
        <v>799</v>
      </c>
      <c r="V801" s="325" t="s">
        <v>3046</v>
      </c>
      <c r="W801" t="str">
        <f>IFERROR(VLOOKUP(ROWS($W$3:W801),$U$3:$V$992,2,0),"")</f>
        <v>Postsekundární nikoli terciární vzdělávání</v>
      </c>
      <c r="X801">
        <f>IF(ISNUMBER(SEARCH('1Př1'!$A$34,N801)),MAX($M$2:M800)+1,0)</f>
        <v>799</v>
      </c>
      <c r="Y801" s="325" t="s">
        <v>3046</v>
      </c>
      <c r="Z801" t="str">
        <f>IFERROR(VLOOKUP(ROWS($Z$3:Z801),$X$3:$Y$992,2,0),"")</f>
        <v>Postsekundární nikoli terciární vzdělávání</v>
      </c>
    </row>
    <row r="802" spans="13:26">
      <c r="M802" s="324">
        <f>IF(ISNUMBER(SEARCH(ZAKL_DATA!$B$29,N802)),MAX($M$2:M801)+1,0)</f>
        <v>800</v>
      </c>
      <c r="N802" s="325" t="s">
        <v>3048</v>
      </c>
      <c r="O802" s="340" t="s">
        <v>3049</v>
      </c>
      <c r="Q802" s="327" t="str">
        <f>IFERROR(VLOOKUP(ROWS($Q$3:Q802),$M$3:$N$992,2,0),"")</f>
        <v>Terciární vzdělávání</v>
      </c>
      <c r="R802">
        <f>IF(ISNUMBER(SEARCH('1Př1'!$A$32,N802)),MAX($M$2:M801)+1,0)</f>
        <v>800</v>
      </c>
      <c r="S802" s="325" t="s">
        <v>3048</v>
      </c>
      <c r="T802" t="str">
        <f>IFERROR(VLOOKUP(ROWS($T$3:T802),$R$3:$S$992,2,0),"")</f>
        <v>Terciární vzdělávání</v>
      </c>
      <c r="U802">
        <f>IF(ISNUMBER(SEARCH('1Př1'!$A$33,N802)),MAX($M$2:M801)+1,0)</f>
        <v>800</v>
      </c>
      <c r="V802" s="325" t="s">
        <v>3048</v>
      </c>
      <c r="W802" t="str">
        <f>IFERROR(VLOOKUP(ROWS($W$3:W802),$U$3:$V$992,2,0),"")</f>
        <v>Terciární vzdělávání</v>
      </c>
      <c r="X802">
        <f>IF(ISNUMBER(SEARCH('1Př1'!$A$34,N802)),MAX($M$2:M801)+1,0)</f>
        <v>800</v>
      </c>
      <c r="Y802" s="325" t="s">
        <v>3048</v>
      </c>
      <c r="Z802" t="str">
        <f>IFERROR(VLOOKUP(ROWS($Z$3:Z802),$X$3:$Y$992,2,0),"")</f>
        <v>Terciární vzdělávání</v>
      </c>
    </row>
    <row r="803" spans="13:26">
      <c r="M803" s="324">
        <f>IF(ISNUMBER(SEARCH(ZAKL_DATA!$B$29,N803)),MAX($M$2:M802)+1,0)</f>
        <v>801</v>
      </c>
      <c r="N803" s="325" t="s">
        <v>3050</v>
      </c>
      <c r="O803" s="340" t="s">
        <v>3051</v>
      </c>
      <c r="Q803" s="327" t="str">
        <f>IFERROR(VLOOKUP(ROWS($Q$3:Q803),$M$3:$N$992,2,0),"")</f>
        <v>Sportovní a rekreační vzdělávání</v>
      </c>
      <c r="R803">
        <f>IF(ISNUMBER(SEARCH('1Př1'!$A$32,N803)),MAX($M$2:M802)+1,0)</f>
        <v>801</v>
      </c>
      <c r="S803" s="325" t="s">
        <v>3050</v>
      </c>
      <c r="T803" t="str">
        <f>IFERROR(VLOOKUP(ROWS($T$3:T803),$R$3:$S$992,2,0),"")</f>
        <v>Sportovní a rekreační vzdělávání</v>
      </c>
      <c r="U803">
        <f>IF(ISNUMBER(SEARCH('1Př1'!$A$33,N803)),MAX($M$2:M802)+1,0)</f>
        <v>801</v>
      </c>
      <c r="V803" s="325" t="s">
        <v>3050</v>
      </c>
      <c r="W803" t="str">
        <f>IFERROR(VLOOKUP(ROWS($W$3:W803),$U$3:$V$992,2,0),"")</f>
        <v>Sportovní a rekreační vzdělávání</v>
      </c>
      <c r="X803">
        <f>IF(ISNUMBER(SEARCH('1Př1'!$A$34,N803)),MAX($M$2:M802)+1,0)</f>
        <v>801</v>
      </c>
      <c r="Y803" s="325" t="s">
        <v>3050</v>
      </c>
      <c r="Z803" t="str">
        <f>IFERROR(VLOOKUP(ROWS($Z$3:Z803),$X$3:$Y$992,2,0),"")</f>
        <v>Sportovní a rekreační vzdělávání</v>
      </c>
    </row>
    <row r="804" spans="13:26">
      <c r="M804" s="324">
        <f>IF(ISNUMBER(SEARCH(ZAKL_DATA!$B$29,N804)),MAX($M$2:M803)+1,0)</f>
        <v>802</v>
      </c>
      <c r="N804" s="325" t="s">
        <v>3052</v>
      </c>
      <c r="O804" s="340" t="s">
        <v>3053</v>
      </c>
      <c r="Q804" s="327" t="str">
        <f>IFERROR(VLOOKUP(ROWS($Q$3:Q804),$M$3:$N$992,2,0),"")</f>
        <v>Umělecké vzdělávání</v>
      </c>
      <c r="R804">
        <f>IF(ISNUMBER(SEARCH('1Př1'!$A$32,N804)),MAX($M$2:M803)+1,0)</f>
        <v>802</v>
      </c>
      <c r="S804" s="325" t="s">
        <v>3052</v>
      </c>
      <c r="T804" t="str">
        <f>IFERROR(VLOOKUP(ROWS($T$3:T804),$R$3:$S$992,2,0),"")</f>
        <v>Umělecké vzdělávání</v>
      </c>
      <c r="U804">
        <f>IF(ISNUMBER(SEARCH('1Př1'!$A$33,N804)),MAX($M$2:M803)+1,0)</f>
        <v>802</v>
      </c>
      <c r="V804" s="325" t="s">
        <v>3052</v>
      </c>
      <c r="W804" t="str">
        <f>IFERROR(VLOOKUP(ROWS($W$3:W804),$U$3:$V$992,2,0),"")</f>
        <v>Umělecké vzdělávání</v>
      </c>
      <c r="X804">
        <f>IF(ISNUMBER(SEARCH('1Př1'!$A$34,N804)),MAX($M$2:M803)+1,0)</f>
        <v>802</v>
      </c>
      <c r="Y804" s="325" t="s">
        <v>3052</v>
      </c>
      <c r="Z804" t="str">
        <f>IFERROR(VLOOKUP(ROWS($Z$3:Z804),$X$3:$Y$992,2,0),"")</f>
        <v>Umělecké vzdělávání</v>
      </c>
    </row>
    <row r="805" spans="13:26">
      <c r="M805" s="324">
        <f>IF(ISNUMBER(SEARCH(ZAKL_DATA!$B$29,N805)),MAX($M$2:M804)+1,0)</f>
        <v>803</v>
      </c>
      <c r="N805" s="325" t="s">
        <v>3054</v>
      </c>
      <c r="O805" s="340" t="s">
        <v>3055</v>
      </c>
      <c r="Q805" s="327" t="str">
        <f>IFERROR(VLOOKUP(ROWS($Q$3:Q805),$M$3:$N$992,2,0),"")</f>
        <v>Činnosti autoškol a jiných škol řízení</v>
      </c>
      <c r="R805">
        <f>IF(ISNUMBER(SEARCH('1Př1'!$A$32,N805)),MAX($M$2:M804)+1,0)</f>
        <v>803</v>
      </c>
      <c r="S805" s="325" t="s">
        <v>3054</v>
      </c>
      <c r="T805" t="str">
        <f>IFERROR(VLOOKUP(ROWS($T$3:T805),$R$3:$S$992,2,0),"")</f>
        <v>Činnosti autoškol a jiných škol řízení</v>
      </c>
      <c r="U805">
        <f>IF(ISNUMBER(SEARCH('1Př1'!$A$33,N805)),MAX($M$2:M804)+1,0)</f>
        <v>803</v>
      </c>
      <c r="V805" s="325" t="s">
        <v>3054</v>
      </c>
      <c r="W805" t="str">
        <f>IFERROR(VLOOKUP(ROWS($W$3:W805),$U$3:$V$992,2,0),"")</f>
        <v>Činnosti autoškol a jiných škol řízení</v>
      </c>
      <c r="X805">
        <f>IF(ISNUMBER(SEARCH('1Př1'!$A$34,N805)),MAX($M$2:M804)+1,0)</f>
        <v>803</v>
      </c>
      <c r="Y805" s="325" t="s">
        <v>3054</v>
      </c>
      <c r="Z805" t="str">
        <f>IFERROR(VLOOKUP(ROWS($Z$3:Z805),$X$3:$Y$992,2,0),"")</f>
        <v>Činnosti autoškol a jiných škol řízení</v>
      </c>
    </row>
    <row r="806" spans="13:26">
      <c r="M806" s="324">
        <f>IF(ISNUMBER(SEARCH(ZAKL_DATA!$B$29,N806)),MAX($M$2:M805)+1,0)</f>
        <v>804</v>
      </c>
      <c r="N806" s="325" t="s">
        <v>3056</v>
      </c>
      <c r="O806" s="340" t="s">
        <v>3057</v>
      </c>
      <c r="Q806" s="327" t="str">
        <f>IFERROR(VLOOKUP(ROWS($Q$3:Q806),$M$3:$N$992,2,0),"")</f>
        <v>Ostatní vzdělávání j. n.</v>
      </c>
      <c r="R806">
        <f>IF(ISNUMBER(SEARCH('1Př1'!$A$32,N806)),MAX($M$2:M805)+1,0)</f>
        <v>804</v>
      </c>
      <c r="S806" s="325" t="s">
        <v>3056</v>
      </c>
      <c r="T806" t="str">
        <f>IFERROR(VLOOKUP(ROWS($T$3:T806),$R$3:$S$992,2,0),"")</f>
        <v>Ostatní vzdělávání j. n.</v>
      </c>
      <c r="U806">
        <f>IF(ISNUMBER(SEARCH('1Př1'!$A$33,N806)),MAX($M$2:M805)+1,0)</f>
        <v>804</v>
      </c>
      <c r="V806" s="325" t="s">
        <v>3056</v>
      </c>
      <c r="W806" t="str">
        <f>IFERROR(VLOOKUP(ROWS($W$3:W806),$U$3:$V$992,2,0),"")</f>
        <v>Ostatní vzdělávání j. n.</v>
      </c>
      <c r="X806">
        <f>IF(ISNUMBER(SEARCH('1Př1'!$A$34,N806)),MAX($M$2:M805)+1,0)</f>
        <v>804</v>
      </c>
      <c r="Y806" s="325" t="s">
        <v>3056</v>
      </c>
      <c r="Z806" t="str">
        <f>IFERROR(VLOOKUP(ROWS($Z$3:Z806),$X$3:$Y$992,2,0),"")</f>
        <v>Ostatní vzdělávání j. n.</v>
      </c>
    </row>
    <row r="807" spans="13:26">
      <c r="M807" s="324">
        <f>IF(ISNUMBER(SEARCH(ZAKL_DATA!$B$29,N807)),MAX($M$2:M806)+1,0)</f>
        <v>805</v>
      </c>
      <c r="N807" s="325" t="s">
        <v>3058</v>
      </c>
      <c r="O807" s="340" t="s">
        <v>3059</v>
      </c>
      <c r="Q807" s="327" t="str">
        <f>IFERROR(VLOOKUP(ROWS($Q$3:Q807),$M$3:$N$992,2,0),"")</f>
        <v>Všeobecná ambulantní zdravotní péče</v>
      </c>
      <c r="R807">
        <f>IF(ISNUMBER(SEARCH('1Př1'!$A$32,N807)),MAX($M$2:M806)+1,0)</f>
        <v>805</v>
      </c>
      <c r="S807" s="325" t="s">
        <v>3058</v>
      </c>
      <c r="T807" t="str">
        <f>IFERROR(VLOOKUP(ROWS($T$3:T807),$R$3:$S$992,2,0),"")</f>
        <v>Všeobecná ambulantní zdravotní péče</v>
      </c>
      <c r="U807">
        <f>IF(ISNUMBER(SEARCH('1Př1'!$A$33,N807)),MAX($M$2:M806)+1,0)</f>
        <v>805</v>
      </c>
      <c r="V807" s="325" t="s">
        <v>3058</v>
      </c>
      <c r="W807" t="str">
        <f>IFERROR(VLOOKUP(ROWS($W$3:W807),$U$3:$V$992,2,0),"")</f>
        <v>Všeobecná ambulantní zdravotní péče</v>
      </c>
      <c r="X807">
        <f>IF(ISNUMBER(SEARCH('1Př1'!$A$34,N807)),MAX($M$2:M806)+1,0)</f>
        <v>805</v>
      </c>
      <c r="Y807" s="325" t="s">
        <v>3058</v>
      </c>
      <c r="Z807" t="str">
        <f>IFERROR(VLOOKUP(ROWS($Z$3:Z807),$X$3:$Y$992,2,0),"")</f>
        <v>Všeobecná ambulantní zdravotní péče</v>
      </c>
    </row>
    <row r="808" spans="13:26">
      <c r="M808" s="324">
        <f>IF(ISNUMBER(SEARCH(ZAKL_DATA!$B$29,N808)),MAX($M$2:M807)+1,0)</f>
        <v>806</v>
      </c>
      <c r="N808" s="325" t="s">
        <v>3060</v>
      </c>
      <c r="O808" s="340" t="s">
        <v>3061</v>
      </c>
      <c r="Q808" s="327" t="str">
        <f>IFERROR(VLOOKUP(ROWS($Q$3:Q808),$M$3:$N$992,2,0),"")</f>
        <v>Specializovaná ambulantní zdravotní péče</v>
      </c>
      <c r="R808">
        <f>IF(ISNUMBER(SEARCH('1Př1'!$A$32,N808)),MAX($M$2:M807)+1,0)</f>
        <v>806</v>
      </c>
      <c r="S808" s="325" t="s">
        <v>3060</v>
      </c>
      <c r="T808" t="str">
        <f>IFERROR(VLOOKUP(ROWS($T$3:T808),$R$3:$S$992,2,0),"")</f>
        <v>Specializovaná ambulantní zdravotní péče</v>
      </c>
      <c r="U808">
        <f>IF(ISNUMBER(SEARCH('1Př1'!$A$33,N808)),MAX($M$2:M807)+1,0)</f>
        <v>806</v>
      </c>
      <c r="V808" s="325" t="s">
        <v>3060</v>
      </c>
      <c r="W808" t="str">
        <f>IFERROR(VLOOKUP(ROWS($W$3:W808),$U$3:$V$992,2,0),"")</f>
        <v>Specializovaná ambulantní zdravotní péče</v>
      </c>
      <c r="X808">
        <f>IF(ISNUMBER(SEARCH('1Př1'!$A$34,N808)),MAX($M$2:M807)+1,0)</f>
        <v>806</v>
      </c>
      <c r="Y808" s="325" t="s">
        <v>3060</v>
      </c>
      <c r="Z808" t="str">
        <f>IFERROR(VLOOKUP(ROWS($Z$3:Z808),$X$3:$Y$992,2,0),"")</f>
        <v>Specializovaná ambulantní zdravotní péče</v>
      </c>
    </row>
    <row r="809" spans="13:26">
      <c r="M809" s="324">
        <f>IF(ISNUMBER(SEARCH(ZAKL_DATA!$B$29,N809)),MAX($M$2:M808)+1,0)</f>
        <v>807</v>
      </c>
      <c r="N809" s="325" t="s">
        <v>3062</v>
      </c>
      <c r="O809" s="340" t="s">
        <v>3063</v>
      </c>
      <c r="Q809" s="327" t="str">
        <f>IFERROR(VLOOKUP(ROWS($Q$3:Q809),$M$3:$N$992,2,0),"")</f>
        <v>Zubní péče</v>
      </c>
      <c r="R809">
        <f>IF(ISNUMBER(SEARCH('1Př1'!$A$32,N809)),MAX($M$2:M808)+1,0)</f>
        <v>807</v>
      </c>
      <c r="S809" s="325" t="s">
        <v>3062</v>
      </c>
      <c r="T809" t="str">
        <f>IFERROR(VLOOKUP(ROWS($T$3:T809),$R$3:$S$992,2,0),"")</f>
        <v>Zubní péče</v>
      </c>
      <c r="U809">
        <f>IF(ISNUMBER(SEARCH('1Př1'!$A$33,N809)),MAX($M$2:M808)+1,0)</f>
        <v>807</v>
      </c>
      <c r="V809" s="325" t="s">
        <v>3062</v>
      </c>
      <c r="W809" t="str">
        <f>IFERROR(VLOOKUP(ROWS($W$3:W809),$U$3:$V$992,2,0),"")</f>
        <v>Zubní péče</v>
      </c>
      <c r="X809">
        <f>IF(ISNUMBER(SEARCH('1Př1'!$A$34,N809)),MAX($M$2:M808)+1,0)</f>
        <v>807</v>
      </c>
      <c r="Y809" s="325" t="s">
        <v>3062</v>
      </c>
      <c r="Z809" t="str">
        <f>IFERROR(VLOOKUP(ROWS($Z$3:Z809),$X$3:$Y$992,2,0),"")</f>
        <v>Zubní péče</v>
      </c>
    </row>
    <row r="810" spans="13:26">
      <c r="M810" s="324">
        <f>IF(ISNUMBER(SEARCH(ZAKL_DATA!$B$29,N810)),MAX($M$2:M809)+1,0)</f>
        <v>808</v>
      </c>
      <c r="N810" s="325" t="s">
        <v>3064</v>
      </c>
      <c r="O810" s="340" t="s">
        <v>3065</v>
      </c>
      <c r="Q810" s="327" t="str">
        <f>IFERROR(VLOOKUP(ROWS($Q$3:Q810),$M$3:$N$992,2,0),"")</f>
        <v>Sociální služby poskytované dětem</v>
      </c>
      <c r="R810">
        <f>IF(ISNUMBER(SEARCH('1Př1'!$A$32,N810)),MAX($M$2:M809)+1,0)</f>
        <v>808</v>
      </c>
      <c r="S810" s="325" t="s">
        <v>3064</v>
      </c>
      <c r="T810" t="str">
        <f>IFERROR(VLOOKUP(ROWS($T$3:T810),$R$3:$S$992,2,0),"")</f>
        <v>Sociální služby poskytované dětem</v>
      </c>
      <c r="U810">
        <f>IF(ISNUMBER(SEARCH('1Př1'!$A$33,N810)),MAX($M$2:M809)+1,0)</f>
        <v>808</v>
      </c>
      <c r="V810" s="325" t="s">
        <v>3064</v>
      </c>
      <c r="W810" t="str">
        <f>IFERROR(VLOOKUP(ROWS($W$3:W810),$U$3:$V$992,2,0),"")</f>
        <v>Sociální služby poskytované dětem</v>
      </c>
      <c r="X810">
        <f>IF(ISNUMBER(SEARCH('1Př1'!$A$34,N810)),MAX($M$2:M809)+1,0)</f>
        <v>808</v>
      </c>
      <c r="Y810" s="325" t="s">
        <v>3064</v>
      </c>
      <c r="Z810" t="str">
        <f>IFERROR(VLOOKUP(ROWS($Z$3:Z810),$X$3:$Y$992,2,0),"")</f>
        <v>Sociální služby poskytované dětem</v>
      </c>
    </row>
    <row r="811" spans="13:26">
      <c r="M811" s="324">
        <f>IF(ISNUMBER(SEARCH(ZAKL_DATA!$B$29,N811)),MAX($M$2:M810)+1,0)</f>
        <v>809</v>
      </c>
      <c r="N811" s="325" t="s">
        <v>3066</v>
      </c>
      <c r="O811" s="340" t="s">
        <v>3067</v>
      </c>
      <c r="Q811" s="327" t="str">
        <f>IFERROR(VLOOKUP(ROWS($Q$3:Q811),$M$3:$N$992,2,0),"")</f>
        <v>Ostatní ambulantní nebo terénní sociální služby j. n.</v>
      </c>
      <c r="R811">
        <f>IF(ISNUMBER(SEARCH('1Př1'!$A$32,N811)),MAX($M$2:M810)+1,0)</f>
        <v>809</v>
      </c>
      <c r="S811" s="325" t="s">
        <v>3066</v>
      </c>
      <c r="T811" t="str">
        <f>IFERROR(VLOOKUP(ROWS($T$3:T811),$R$3:$S$992,2,0),"")</f>
        <v>Ostatní ambulantní nebo terénní sociální služby j. n.</v>
      </c>
      <c r="U811">
        <f>IF(ISNUMBER(SEARCH('1Př1'!$A$33,N811)),MAX($M$2:M810)+1,0)</f>
        <v>809</v>
      </c>
      <c r="V811" s="325" t="s">
        <v>3066</v>
      </c>
      <c r="W811" t="str">
        <f>IFERROR(VLOOKUP(ROWS($W$3:W811),$U$3:$V$992,2,0),"")</f>
        <v>Ostatní ambulantní nebo terénní sociální služby j. n.</v>
      </c>
      <c r="X811">
        <f>IF(ISNUMBER(SEARCH('1Př1'!$A$34,N811)),MAX($M$2:M810)+1,0)</f>
        <v>809</v>
      </c>
      <c r="Y811" s="325" t="s">
        <v>3066</v>
      </c>
      <c r="Z811" t="str">
        <f>IFERROR(VLOOKUP(ROWS($Z$3:Z811),$X$3:$Y$992,2,0),"")</f>
        <v>Ostatní ambulantní nebo terénní sociální služby j. n.</v>
      </c>
    </row>
    <row r="812" spans="13:26">
      <c r="M812" s="324">
        <f>IF(ISNUMBER(SEARCH(ZAKL_DATA!$B$29,N812)),MAX($M$2:M811)+1,0)</f>
        <v>810</v>
      </c>
      <c r="N812" s="325" t="s">
        <v>3068</v>
      </c>
      <c r="O812" s="340" t="s">
        <v>3069</v>
      </c>
      <c r="Q812" s="327" t="str">
        <f>IFERROR(VLOOKUP(ROWS($Q$3:Q812),$M$3:$N$992,2,0),"")</f>
        <v>Scénická umění</v>
      </c>
      <c r="R812">
        <f>IF(ISNUMBER(SEARCH('1Př1'!$A$32,N812)),MAX($M$2:M811)+1,0)</f>
        <v>810</v>
      </c>
      <c r="S812" s="325" t="s">
        <v>3068</v>
      </c>
      <c r="T812" t="str">
        <f>IFERROR(VLOOKUP(ROWS($T$3:T812),$R$3:$S$992,2,0),"")</f>
        <v>Scénická umění</v>
      </c>
      <c r="U812">
        <f>IF(ISNUMBER(SEARCH('1Př1'!$A$33,N812)),MAX($M$2:M811)+1,0)</f>
        <v>810</v>
      </c>
      <c r="V812" s="325" t="s">
        <v>3068</v>
      </c>
      <c r="W812" t="str">
        <f>IFERROR(VLOOKUP(ROWS($W$3:W812),$U$3:$V$992,2,0),"")</f>
        <v>Scénická umění</v>
      </c>
      <c r="X812">
        <f>IF(ISNUMBER(SEARCH('1Př1'!$A$34,N812)),MAX($M$2:M811)+1,0)</f>
        <v>810</v>
      </c>
      <c r="Y812" s="325" t="s">
        <v>3068</v>
      </c>
      <c r="Z812" t="str">
        <f>IFERROR(VLOOKUP(ROWS($Z$3:Z812),$X$3:$Y$992,2,0),"")</f>
        <v>Scénická umění</v>
      </c>
    </row>
    <row r="813" spans="13:26">
      <c r="M813" s="324">
        <f>IF(ISNUMBER(SEARCH(ZAKL_DATA!$B$29,N813)),MAX($M$2:M812)+1,0)</f>
        <v>811</v>
      </c>
      <c r="N813" s="325" t="s">
        <v>3070</v>
      </c>
      <c r="O813" s="340" t="s">
        <v>3071</v>
      </c>
      <c r="Q813" s="327" t="str">
        <f>IFERROR(VLOOKUP(ROWS($Q$3:Q813),$M$3:$N$992,2,0),"")</f>
        <v>Podpůrné činnosti pro scénická umění</v>
      </c>
      <c r="R813">
        <f>IF(ISNUMBER(SEARCH('1Př1'!$A$32,N813)),MAX($M$2:M812)+1,0)</f>
        <v>811</v>
      </c>
      <c r="S813" s="325" t="s">
        <v>3070</v>
      </c>
      <c r="T813" t="str">
        <f>IFERROR(VLOOKUP(ROWS($T$3:T813),$R$3:$S$992,2,0),"")</f>
        <v>Podpůrné činnosti pro scénická umění</v>
      </c>
      <c r="U813">
        <f>IF(ISNUMBER(SEARCH('1Př1'!$A$33,N813)),MAX($M$2:M812)+1,0)</f>
        <v>811</v>
      </c>
      <c r="V813" s="325" t="s">
        <v>3070</v>
      </c>
      <c r="W813" t="str">
        <f>IFERROR(VLOOKUP(ROWS($W$3:W813),$U$3:$V$992,2,0),"")</f>
        <v>Podpůrné činnosti pro scénická umění</v>
      </c>
      <c r="X813">
        <f>IF(ISNUMBER(SEARCH('1Př1'!$A$34,N813)),MAX($M$2:M812)+1,0)</f>
        <v>811</v>
      </c>
      <c r="Y813" s="325" t="s">
        <v>3070</v>
      </c>
      <c r="Z813" t="str">
        <f>IFERROR(VLOOKUP(ROWS($Z$3:Z813),$X$3:$Y$992,2,0),"")</f>
        <v>Podpůrné činnosti pro scénická umění</v>
      </c>
    </row>
    <row r="814" spans="13:26">
      <c r="M814" s="324">
        <f>IF(ISNUMBER(SEARCH(ZAKL_DATA!$B$29,N814)),MAX($M$2:M813)+1,0)</f>
        <v>812</v>
      </c>
      <c r="N814" s="325" t="s">
        <v>3072</v>
      </c>
      <c r="O814" s="340" t="s">
        <v>3073</v>
      </c>
      <c r="Q814" s="327" t="str">
        <f>IFERROR(VLOOKUP(ROWS($Q$3:Q814),$M$3:$N$992,2,0),"")</f>
        <v>Umělecká tvorba</v>
      </c>
      <c r="R814">
        <f>IF(ISNUMBER(SEARCH('1Př1'!$A$32,N814)),MAX($M$2:M813)+1,0)</f>
        <v>812</v>
      </c>
      <c r="S814" s="325" t="s">
        <v>3072</v>
      </c>
      <c r="T814" t="str">
        <f>IFERROR(VLOOKUP(ROWS($T$3:T814),$R$3:$S$992,2,0),"")</f>
        <v>Umělecká tvorba</v>
      </c>
      <c r="U814">
        <f>IF(ISNUMBER(SEARCH('1Př1'!$A$33,N814)),MAX($M$2:M813)+1,0)</f>
        <v>812</v>
      </c>
      <c r="V814" s="325" t="s">
        <v>3072</v>
      </c>
      <c r="W814" t="str">
        <f>IFERROR(VLOOKUP(ROWS($W$3:W814),$U$3:$V$992,2,0),"")</f>
        <v>Umělecká tvorba</v>
      </c>
      <c r="X814">
        <f>IF(ISNUMBER(SEARCH('1Př1'!$A$34,N814)),MAX($M$2:M813)+1,0)</f>
        <v>812</v>
      </c>
      <c r="Y814" s="325" t="s">
        <v>3072</v>
      </c>
      <c r="Z814" t="str">
        <f>IFERROR(VLOOKUP(ROWS($Z$3:Z814),$X$3:$Y$992,2,0),"")</f>
        <v>Umělecká tvorba</v>
      </c>
    </row>
    <row r="815" spans="13:26">
      <c r="M815" s="324">
        <f>IF(ISNUMBER(SEARCH(ZAKL_DATA!$B$29,N815)),MAX($M$2:M814)+1,0)</f>
        <v>813</v>
      </c>
      <c r="N815" s="325" t="s">
        <v>3074</v>
      </c>
      <c r="O815" s="340" t="s">
        <v>3075</v>
      </c>
      <c r="Q815" s="327" t="str">
        <f>IFERROR(VLOOKUP(ROWS($Q$3:Q815),$M$3:$N$992,2,0),"")</f>
        <v>Provozování kulturních zařízení</v>
      </c>
      <c r="R815">
        <f>IF(ISNUMBER(SEARCH('1Př1'!$A$32,N815)),MAX($M$2:M814)+1,0)</f>
        <v>813</v>
      </c>
      <c r="S815" s="325" t="s">
        <v>3074</v>
      </c>
      <c r="T815" t="str">
        <f>IFERROR(VLOOKUP(ROWS($T$3:T815),$R$3:$S$992,2,0),"")</f>
        <v>Provozování kulturních zařízení</v>
      </c>
      <c r="U815">
        <f>IF(ISNUMBER(SEARCH('1Př1'!$A$33,N815)),MAX($M$2:M814)+1,0)</f>
        <v>813</v>
      </c>
      <c r="V815" s="325" t="s">
        <v>3074</v>
      </c>
      <c r="W815" t="str">
        <f>IFERROR(VLOOKUP(ROWS($W$3:W815),$U$3:$V$992,2,0),"")</f>
        <v>Provozování kulturních zařízení</v>
      </c>
      <c r="X815">
        <f>IF(ISNUMBER(SEARCH('1Př1'!$A$34,N815)),MAX($M$2:M814)+1,0)</f>
        <v>813</v>
      </c>
      <c r="Y815" s="325" t="s">
        <v>3074</v>
      </c>
      <c r="Z815" t="str">
        <f>IFERROR(VLOOKUP(ROWS($Z$3:Z815),$X$3:$Y$992,2,0),"")</f>
        <v>Provozování kulturních zařízení</v>
      </c>
    </row>
    <row r="816" spans="13:26">
      <c r="M816" s="324">
        <f>IF(ISNUMBER(SEARCH(ZAKL_DATA!$B$29,N816)),MAX($M$2:M815)+1,0)</f>
        <v>814</v>
      </c>
      <c r="N816" s="325" t="s">
        <v>3076</v>
      </c>
      <c r="O816" s="340" t="s">
        <v>3077</v>
      </c>
      <c r="Q816" s="327" t="str">
        <f>IFERROR(VLOOKUP(ROWS($Q$3:Q816),$M$3:$N$992,2,0),"")</f>
        <v>Činnosti knihoven a archivů</v>
      </c>
      <c r="R816">
        <f>IF(ISNUMBER(SEARCH('1Př1'!$A$32,N816)),MAX($M$2:M815)+1,0)</f>
        <v>814</v>
      </c>
      <c r="S816" s="325" t="s">
        <v>3076</v>
      </c>
      <c r="T816" t="str">
        <f>IFERROR(VLOOKUP(ROWS($T$3:T816),$R$3:$S$992,2,0),"")</f>
        <v>Činnosti knihoven a archivů</v>
      </c>
      <c r="U816">
        <f>IF(ISNUMBER(SEARCH('1Př1'!$A$33,N816)),MAX($M$2:M815)+1,0)</f>
        <v>814</v>
      </c>
      <c r="V816" s="325" t="s">
        <v>3076</v>
      </c>
      <c r="W816" t="str">
        <f>IFERROR(VLOOKUP(ROWS($W$3:W816),$U$3:$V$992,2,0),"")</f>
        <v>Činnosti knihoven a archivů</v>
      </c>
      <c r="X816">
        <f>IF(ISNUMBER(SEARCH('1Př1'!$A$34,N816)),MAX($M$2:M815)+1,0)</f>
        <v>814</v>
      </c>
      <c r="Y816" s="325" t="s">
        <v>3076</v>
      </c>
      <c r="Z816" t="str">
        <f>IFERROR(VLOOKUP(ROWS($Z$3:Z816),$X$3:$Y$992,2,0),"")</f>
        <v>Činnosti knihoven a archivů</v>
      </c>
    </row>
    <row r="817" spans="13:26">
      <c r="M817" s="324">
        <f>IF(ISNUMBER(SEARCH(ZAKL_DATA!$B$29,N817)),MAX($M$2:M816)+1,0)</f>
        <v>815</v>
      </c>
      <c r="N817" s="325" t="s">
        <v>3078</v>
      </c>
      <c r="O817" s="340" t="s">
        <v>3079</v>
      </c>
      <c r="Q817" s="327" t="str">
        <f>IFERROR(VLOOKUP(ROWS($Q$3:Q817),$M$3:$N$992,2,0),"")</f>
        <v>Činnosti muzeí</v>
      </c>
      <c r="R817">
        <f>IF(ISNUMBER(SEARCH('1Př1'!$A$32,N817)),MAX($M$2:M816)+1,0)</f>
        <v>815</v>
      </c>
      <c r="S817" s="325" t="s">
        <v>3078</v>
      </c>
      <c r="T817" t="str">
        <f>IFERROR(VLOOKUP(ROWS($T$3:T817),$R$3:$S$992,2,0),"")</f>
        <v>Činnosti muzeí</v>
      </c>
      <c r="U817">
        <f>IF(ISNUMBER(SEARCH('1Př1'!$A$33,N817)),MAX($M$2:M816)+1,0)</f>
        <v>815</v>
      </c>
      <c r="V817" s="325" t="s">
        <v>3078</v>
      </c>
      <c r="W817" t="str">
        <f>IFERROR(VLOOKUP(ROWS($W$3:W817),$U$3:$V$992,2,0),"")</f>
        <v>Činnosti muzeí</v>
      </c>
      <c r="X817">
        <f>IF(ISNUMBER(SEARCH('1Př1'!$A$34,N817)),MAX($M$2:M816)+1,0)</f>
        <v>815</v>
      </c>
      <c r="Y817" s="325" t="s">
        <v>3078</v>
      </c>
      <c r="Z817" t="str">
        <f>IFERROR(VLOOKUP(ROWS($Z$3:Z817),$X$3:$Y$992,2,0),"")</f>
        <v>Činnosti muzeí</v>
      </c>
    </row>
    <row r="818" spans="13:26">
      <c r="M818" s="324">
        <f>IF(ISNUMBER(SEARCH(ZAKL_DATA!$B$29,N818)),MAX($M$2:M817)+1,0)</f>
        <v>816</v>
      </c>
      <c r="N818" s="325" t="s">
        <v>3080</v>
      </c>
      <c r="O818" s="340" t="s">
        <v>3081</v>
      </c>
      <c r="Q818" s="327" t="str">
        <f>IFERROR(VLOOKUP(ROWS($Q$3:Q818),$M$3:$N$992,2,0),"")</f>
        <v>Provozování kultur.památek,histor.staveb a obdobných turist.zajímavostí</v>
      </c>
      <c r="R818">
        <f>IF(ISNUMBER(SEARCH('1Př1'!$A$32,N818)),MAX($M$2:M817)+1,0)</f>
        <v>816</v>
      </c>
      <c r="S818" s="325" t="s">
        <v>3080</v>
      </c>
      <c r="T818" t="str">
        <f>IFERROR(VLOOKUP(ROWS($T$3:T818),$R$3:$S$992,2,0),"")</f>
        <v>Provozování kultur.památek,histor.staveb a obdobných turist.zajímavostí</v>
      </c>
      <c r="U818">
        <f>IF(ISNUMBER(SEARCH('1Př1'!$A$33,N818)),MAX($M$2:M817)+1,0)</f>
        <v>816</v>
      </c>
      <c r="V818" s="325" t="s">
        <v>3080</v>
      </c>
      <c r="W818" t="str">
        <f>IFERROR(VLOOKUP(ROWS($W$3:W818),$U$3:$V$992,2,0),"")</f>
        <v>Provozování kultur.památek,histor.staveb a obdobných turist.zajímavostí</v>
      </c>
      <c r="X818">
        <f>IF(ISNUMBER(SEARCH('1Př1'!$A$34,N818)),MAX($M$2:M817)+1,0)</f>
        <v>816</v>
      </c>
      <c r="Y818" s="325" t="s">
        <v>3080</v>
      </c>
      <c r="Z818" t="str">
        <f>IFERROR(VLOOKUP(ROWS($Z$3:Z818),$X$3:$Y$992,2,0),"")</f>
        <v>Provozování kultur.památek,histor.staveb a obdobných turist.zajímavostí</v>
      </c>
    </row>
    <row r="819" spans="13:26">
      <c r="M819" s="324">
        <f>IF(ISNUMBER(SEARCH(ZAKL_DATA!$B$29,N819)),MAX($M$2:M818)+1,0)</f>
        <v>817</v>
      </c>
      <c r="N819" s="325" t="s">
        <v>3082</v>
      </c>
      <c r="O819" s="340" t="s">
        <v>3083</v>
      </c>
      <c r="Q819" s="327" t="str">
        <f>IFERROR(VLOOKUP(ROWS($Q$3:Q819),$M$3:$N$992,2,0),"")</f>
        <v>Činnosti botanických a zoologických zahrad,přír.rezervací a národ.parků</v>
      </c>
      <c r="R819">
        <f>IF(ISNUMBER(SEARCH('1Př1'!$A$32,N819)),MAX($M$2:M818)+1,0)</f>
        <v>817</v>
      </c>
      <c r="S819" s="325" t="s">
        <v>3082</v>
      </c>
      <c r="T819" t="str">
        <f>IFERROR(VLOOKUP(ROWS($T$3:T819),$R$3:$S$992,2,0),"")</f>
        <v>Činnosti botanických a zoologických zahrad,přír.rezervací a národ.parků</v>
      </c>
      <c r="U819">
        <f>IF(ISNUMBER(SEARCH('1Př1'!$A$33,N819)),MAX($M$2:M818)+1,0)</f>
        <v>817</v>
      </c>
      <c r="V819" s="325" t="s">
        <v>3082</v>
      </c>
      <c r="W819" t="str">
        <f>IFERROR(VLOOKUP(ROWS($W$3:W819),$U$3:$V$992,2,0),"")</f>
        <v>Činnosti botanických a zoologických zahrad,přír.rezervací a národ.parků</v>
      </c>
      <c r="X819">
        <f>IF(ISNUMBER(SEARCH('1Př1'!$A$34,N819)),MAX($M$2:M818)+1,0)</f>
        <v>817</v>
      </c>
      <c r="Y819" s="325" t="s">
        <v>3082</v>
      </c>
      <c r="Z819" t="str">
        <f>IFERROR(VLOOKUP(ROWS($Z$3:Z819),$X$3:$Y$992,2,0),"")</f>
        <v>Činnosti botanických a zoologických zahrad,přír.rezervací a národ.parků</v>
      </c>
    </row>
    <row r="820" spans="13:26">
      <c r="M820" s="324">
        <f>IF(ISNUMBER(SEARCH(ZAKL_DATA!$B$29,N820)),MAX($M$2:M819)+1,0)</f>
        <v>818</v>
      </c>
      <c r="N820" s="325" t="s">
        <v>3084</v>
      </c>
      <c r="O820" s="340" t="s">
        <v>3085</v>
      </c>
      <c r="Q820" s="327" t="str">
        <f>IFERROR(VLOOKUP(ROWS($Q$3:Q820),$M$3:$N$992,2,0),"")</f>
        <v>Provozování sportovních zařízení</v>
      </c>
      <c r="R820">
        <f>IF(ISNUMBER(SEARCH('1Př1'!$A$32,N820)),MAX($M$2:M819)+1,0)</f>
        <v>818</v>
      </c>
      <c r="S820" s="325" t="s">
        <v>3084</v>
      </c>
      <c r="T820" t="str">
        <f>IFERROR(VLOOKUP(ROWS($T$3:T820),$R$3:$S$992,2,0),"")</f>
        <v>Provozování sportovních zařízení</v>
      </c>
      <c r="U820">
        <f>IF(ISNUMBER(SEARCH('1Př1'!$A$33,N820)),MAX($M$2:M819)+1,0)</f>
        <v>818</v>
      </c>
      <c r="V820" s="325" t="s">
        <v>3084</v>
      </c>
      <c r="W820" t="str">
        <f>IFERROR(VLOOKUP(ROWS($W$3:W820),$U$3:$V$992,2,0),"")</f>
        <v>Provozování sportovních zařízení</v>
      </c>
      <c r="X820">
        <f>IF(ISNUMBER(SEARCH('1Př1'!$A$34,N820)),MAX($M$2:M819)+1,0)</f>
        <v>818</v>
      </c>
      <c r="Y820" s="325" t="s">
        <v>3084</v>
      </c>
      <c r="Z820" t="str">
        <f>IFERROR(VLOOKUP(ROWS($Z$3:Z820),$X$3:$Y$992,2,0),"")</f>
        <v>Provozování sportovních zařízení</v>
      </c>
    </row>
    <row r="821" spans="13:26">
      <c r="M821" s="324">
        <f>IF(ISNUMBER(SEARCH(ZAKL_DATA!$B$29,N821)),MAX($M$2:M820)+1,0)</f>
        <v>819</v>
      </c>
      <c r="N821" s="325" t="s">
        <v>3086</v>
      </c>
      <c r="O821" s="340" t="s">
        <v>3087</v>
      </c>
      <c r="Q821" s="327" t="str">
        <f>IFERROR(VLOOKUP(ROWS($Q$3:Q821),$M$3:$N$992,2,0),"")</f>
        <v>Činnosti sportovních klubů</v>
      </c>
      <c r="R821">
        <f>IF(ISNUMBER(SEARCH('1Př1'!$A$32,N821)),MAX($M$2:M820)+1,0)</f>
        <v>819</v>
      </c>
      <c r="S821" s="325" t="s">
        <v>3086</v>
      </c>
      <c r="T821" t="str">
        <f>IFERROR(VLOOKUP(ROWS($T$3:T821),$R$3:$S$992,2,0),"")</f>
        <v>Činnosti sportovních klubů</v>
      </c>
      <c r="U821">
        <f>IF(ISNUMBER(SEARCH('1Př1'!$A$33,N821)),MAX($M$2:M820)+1,0)</f>
        <v>819</v>
      </c>
      <c r="V821" s="325" t="s">
        <v>3086</v>
      </c>
      <c r="W821" t="str">
        <f>IFERROR(VLOOKUP(ROWS($W$3:W821),$U$3:$V$992,2,0),"")</f>
        <v>Činnosti sportovních klubů</v>
      </c>
      <c r="X821">
        <f>IF(ISNUMBER(SEARCH('1Př1'!$A$34,N821)),MAX($M$2:M820)+1,0)</f>
        <v>819</v>
      </c>
      <c r="Y821" s="325" t="s">
        <v>3086</v>
      </c>
      <c r="Z821" t="str">
        <f>IFERROR(VLOOKUP(ROWS($Z$3:Z821),$X$3:$Y$992,2,0),"")</f>
        <v>Činnosti sportovních klubů</v>
      </c>
    </row>
    <row r="822" spans="13:26">
      <c r="M822" s="324">
        <f>IF(ISNUMBER(SEARCH(ZAKL_DATA!$B$29,N822)),MAX($M$2:M821)+1,0)</f>
        <v>820</v>
      </c>
      <c r="N822" s="325" t="s">
        <v>3088</v>
      </c>
      <c r="O822" s="340" t="s">
        <v>3089</v>
      </c>
      <c r="Q822" s="327" t="str">
        <f>IFERROR(VLOOKUP(ROWS($Q$3:Q822),$M$3:$N$992,2,0),"")</f>
        <v>Činnosti fitcenter</v>
      </c>
      <c r="R822">
        <f>IF(ISNUMBER(SEARCH('1Př1'!$A$32,N822)),MAX($M$2:M821)+1,0)</f>
        <v>820</v>
      </c>
      <c r="S822" s="325" t="s">
        <v>3088</v>
      </c>
      <c r="T822" t="str">
        <f>IFERROR(VLOOKUP(ROWS($T$3:T822),$R$3:$S$992,2,0),"")</f>
        <v>Činnosti fitcenter</v>
      </c>
      <c r="U822">
        <f>IF(ISNUMBER(SEARCH('1Př1'!$A$33,N822)),MAX($M$2:M821)+1,0)</f>
        <v>820</v>
      </c>
      <c r="V822" s="325" t="s">
        <v>3088</v>
      </c>
      <c r="W822" t="str">
        <f>IFERROR(VLOOKUP(ROWS($W$3:W822),$U$3:$V$992,2,0),"")</f>
        <v>Činnosti fitcenter</v>
      </c>
      <c r="X822">
        <f>IF(ISNUMBER(SEARCH('1Př1'!$A$34,N822)),MAX($M$2:M821)+1,0)</f>
        <v>820</v>
      </c>
      <c r="Y822" s="325" t="s">
        <v>3088</v>
      </c>
      <c r="Z822" t="str">
        <f>IFERROR(VLOOKUP(ROWS($Z$3:Z822),$X$3:$Y$992,2,0),"")</f>
        <v>Činnosti fitcenter</v>
      </c>
    </row>
    <row r="823" spans="13:26">
      <c r="M823" s="324">
        <f>IF(ISNUMBER(SEARCH(ZAKL_DATA!$B$29,N823)),MAX($M$2:M822)+1,0)</f>
        <v>821</v>
      </c>
      <c r="N823" s="325" t="s">
        <v>3090</v>
      </c>
      <c r="O823" s="340" t="s">
        <v>3091</v>
      </c>
      <c r="Q823" s="327" t="str">
        <f>IFERROR(VLOOKUP(ROWS($Q$3:Q823),$M$3:$N$992,2,0),"")</f>
        <v>Ostatní sportovní činnosti</v>
      </c>
      <c r="R823">
        <f>IF(ISNUMBER(SEARCH('1Př1'!$A$32,N823)),MAX($M$2:M822)+1,0)</f>
        <v>821</v>
      </c>
      <c r="S823" s="325" t="s">
        <v>3090</v>
      </c>
      <c r="T823" t="str">
        <f>IFERROR(VLOOKUP(ROWS($T$3:T823),$R$3:$S$992,2,0),"")</f>
        <v>Ostatní sportovní činnosti</v>
      </c>
      <c r="U823">
        <f>IF(ISNUMBER(SEARCH('1Př1'!$A$33,N823)),MAX($M$2:M822)+1,0)</f>
        <v>821</v>
      </c>
      <c r="V823" s="325" t="s">
        <v>3090</v>
      </c>
      <c r="W823" t="str">
        <f>IFERROR(VLOOKUP(ROWS($W$3:W823),$U$3:$V$992,2,0),"")</f>
        <v>Ostatní sportovní činnosti</v>
      </c>
      <c r="X823">
        <f>IF(ISNUMBER(SEARCH('1Př1'!$A$34,N823)),MAX($M$2:M822)+1,0)</f>
        <v>821</v>
      </c>
      <c r="Y823" s="325" t="s">
        <v>3090</v>
      </c>
      <c r="Z823" t="str">
        <f>IFERROR(VLOOKUP(ROWS($Z$3:Z823),$X$3:$Y$992,2,0),"")</f>
        <v>Ostatní sportovní činnosti</v>
      </c>
    </row>
    <row r="824" spans="13:26">
      <c r="M824" s="324">
        <f>IF(ISNUMBER(SEARCH(ZAKL_DATA!$B$29,N824)),MAX($M$2:M823)+1,0)</f>
        <v>822</v>
      </c>
      <c r="N824" s="325" t="s">
        <v>3092</v>
      </c>
      <c r="O824" s="340" t="s">
        <v>3093</v>
      </c>
      <c r="Q824" s="327" t="str">
        <f>IFERROR(VLOOKUP(ROWS($Q$3:Q824),$M$3:$N$992,2,0),"")</f>
        <v>Činnosti lunaparků a zábavních parků</v>
      </c>
      <c r="R824">
        <f>IF(ISNUMBER(SEARCH('1Př1'!$A$32,N824)),MAX($M$2:M823)+1,0)</f>
        <v>822</v>
      </c>
      <c r="S824" s="325" t="s">
        <v>3092</v>
      </c>
      <c r="T824" t="str">
        <f>IFERROR(VLOOKUP(ROWS($T$3:T824),$R$3:$S$992,2,0),"")</f>
        <v>Činnosti lunaparků a zábavních parků</v>
      </c>
      <c r="U824">
        <f>IF(ISNUMBER(SEARCH('1Př1'!$A$33,N824)),MAX($M$2:M823)+1,0)</f>
        <v>822</v>
      </c>
      <c r="V824" s="325" t="s">
        <v>3092</v>
      </c>
      <c r="W824" t="str">
        <f>IFERROR(VLOOKUP(ROWS($W$3:W824),$U$3:$V$992,2,0),"")</f>
        <v>Činnosti lunaparků a zábavních parků</v>
      </c>
      <c r="X824">
        <f>IF(ISNUMBER(SEARCH('1Př1'!$A$34,N824)),MAX($M$2:M823)+1,0)</f>
        <v>822</v>
      </c>
      <c r="Y824" s="325" t="s">
        <v>3092</v>
      </c>
      <c r="Z824" t="str">
        <f>IFERROR(VLOOKUP(ROWS($Z$3:Z824),$X$3:$Y$992,2,0),"")</f>
        <v>Činnosti lunaparků a zábavních parků</v>
      </c>
    </row>
    <row r="825" spans="13:26">
      <c r="M825" s="324">
        <f>IF(ISNUMBER(SEARCH(ZAKL_DATA!$B$29,N825)),MAX($M$2:M824)+1,0)</f>
        <v>823</v>
      </c>
      <c r="N825" s="325" t="s">
        <v>3094</v>
      </c>
      <c r="O825" s="340" t="s">
        <v>3095</v>
      </c>
      <c r="Q825" s="327" t="str">
        <f>IFERROR(VLOOKUP(ROWS($Q$3:Q825),$M$3:$N$992,2,0),"")</f>
        <v>Ostatní zábavní a rekreační činnosti j. n.</v>
      </c>
      <c r="R825">
        <f>IF(ISNUMBER(SEARCH('1Př1'!$A$32,N825)),MAX($M$2:M824)+1,0)</f>
        <v>823</v>
      </c>
      <c r="S825" s="325" t="s">
        <v>3094</v>
      </c>
      <c r="T825" t="str">
        <f>IFERROR(VLOOKUP(ROWS($T$3:T825),$R$3:$S$992,2,0),"")</f>
        <v>Ostatní zábavní a rekreační činnosti j. n.</v>
      </c>
      <c r="U825">
        <f>IF(ISNUMBER(SEARCH('1Př1'!$A$33,N825)),MAX($M$2:M824)+1,0)</f>
        <v>823</v>
      </c>
      <c r="V825" s="325" t="s">
        <v>3094</v>
      </c>
      <c r="W825" t="str">
        <f>IFERROR(VLOOKUP(ROWS($W$3:W825),$U$3:$V$992,2,0),"")</f>
        <v>Ostatní zábavní a rekreační činnosti j. n.</v>
      </c>
      <c r="X825">
        <f>IF(ISNUMBER(SEARCH('1Př1'!$A$34,N825)),MAX($M$2:M824)+1,0)</f>
        <v>823</v>
      </c>
      <c r="Y825" s="325" t="s">
        <v>3094</v>
      </c>
      <c r="Z825" t="str">
        <f>IFERROR(VLOOKUP(ROWS($Z$3:Z825),$X$3:$Y$992,2,0),"")</f>
        <v>Ostatní zábavní a rekreační činnosti j. n.</v>
      </c>
    </row>
    <row r="826" spans="13:26">
      <c r="M826" s="324">
        <f>IF(ISNUMBER(SEARCH(ZAKL_DATA!$B$29,N826)),MAX($M$2:M825)+1,0)</f>
        <v>824</v>
      </c>
      <c r="N826" s="325" t="s">
        <v>3096</v>
      </c>
      <c r="O826" s="340" t="s">
        <v>3097</v>
      </c>
      <c r="Q826" s="327" t="str">
        <f>IFERROR(VLOOKUP(ROWS($Q$3:Q826),$M$3:$N$992,2,0),"")</f>
        <v>Činnosti podnikatelských a zaměstnavatelských organizací</v>
      </c>
      <c r="R826">
        <f>IF(ISNUMBER(SEARCH('1Př1'!$A$32,N826)),MAX($M$2:M825)+1,0)</f>
        <v>824</v>
      </c>
      <c r="S826" s="325" t="s">
        <v>3096</v>
      </c>
      <c r="T826" t="str">
        <f>IFERROR(VLOOKUP(ROWS($T$3:T826),$R$3:$S$992,2,0),"")</f>
        <v>Činnosti podnikatelských a zaměstnavatelských organizací</v>
      </c>
      <c r="U826">
        <f>IF(ISNUMBER(SEARCH('1Př1'!$A$33,N826)),MAX($M$2:M825)+1,0)</f>
        <v>824</v>
      </c>
      <c r="V826" s="325" t="s">
        <v>3096</v>
      </c>
      <c r="W826" t="str">
        <f>IFERROR(VLOOKUP(ROWS($W$3:W826),$U$3:$V$992,2,0),"")</f>
        <v>Činnosti podnikatelských a zaměstnavatelských organizací</v>
      </c>
      <c r="X826">
        <f>IF(ISNUMBER(SEARCH('1Př1'!$A$34,N826)),MAX($M$2:M825)+1,0)</f>
        <v>824</v>
      </c>
      <c r="Y826" s="325" t="s">
        <v>3096</v>
      </c>
      <c r="Z826" t="str">
        <f>IFERROR(VLOOKUP(ROWS($Z$3:Z826),$X$3:$Y$992,2,0),"")</f>
        <v>Činnosti podnikatelských a zaměstnavatelských organizací</v>
      </c>
    </row>
    <row r="827" spans="13:26">
      <c r="M827" s="324">
        <f>IF(ISNUMBER(SEARCH(ZAKL_DATA!$B$29,N827)),MAX($M$2:M826)+1,0)</f>
        <v>825</v>
      </c>
      <c r="N827" s="325" t="s">
        <v>3098</v>
      </c>
      <c r="O827" s="340" t="s">
        <v>3099</v>
      </c>
      <c r="Q827" s="327" t="str">
        <f>IFERROR(VLOOKUP(ROWS($Q$3:Q827),$M$3:$N$992,2,0),"")</f>
        <v>Činnosti profesních organizací</v>
      </c>
      <c r="R827">
        <f>IF(ISNUMBER(SEARCH('1Př1'!$A$32,N827)),MAX($M$2:M826)+1,0)</f>
        <v>825</v>
      </c>
      <c r="S827" s="325" t="s">
        <v>3098</v>
      </c>
      <c r="T827" t="str">
        <f>IFERROR(VLOOKUP(ROWS($T$3:T827),$R$3:$S$992,2,0),"")</f>
        <v>Činnosti profesních organizací</v>
      </c>
      <c r="U827">
        <f>IF(ISNUMBER(SEARCH('1Př1'!$A$33,N827)),MAX($M$2:M826)+1,0)</f>
        <v>825</v>
      </c>
      <c r="V827" s="325" t="s">
        <v>3098</v>
      </c>
      <c r="W827" t="str">
        <f>IFERROR(VLOOKUP(ROWS($W$3:W827),$U$3:$V$992,2,0),"")</f>
        <v>Činnosti profesních organizací</v>
      </c>
      <c r="X827">
        <f>IF(ISNUMBER(SEARCH('1Př1'!$A$34,N827)),MAX($M$2:M826)+1,0)</f>
        <v>825</v>
      </c>
      <c r="Y827" s="325" t="s">
        <v>3098</v>
      </c>
      <c r="Z827" t="str">
        <f>IFERROR(VLOOKUP(ROWS($Z$3:Z827),$X$3:$Y$992,2,0),"")</f>
        <v>Činnosti profesních organizací</v>
      </c>
    </row>
    <row r="828" spans="13:26">
      <c r="M828" s="324">
        <f>IF(ISNUMBER(SEARCH(ZAKL_DATA!$B$29,N828)),MAX($M$2:M827)+1,0)</f>
        <v>826</v>
      </c>
      <c r="N828" s="325" t="s">
        <v>3100</v>
      </c>
      <c r="O828" s="340" t="s">
        <v>3101</v>
      </c>
      <c r="Q828" s="327" t="str">
        <f>IFERROR(VLOOKUP(ROWS($Q$3:Q828),$M$3:$N$992,2,0),"")</f>
        <v>Činnosti náboženských organizací</v>
      </c>
      <c r="R828">
        <f>IF(ISNUMBER(SEARCH('1Př1'!$A$32,N828)),MAX($M$2:M827)+1,0)</f>
        <v>826</v>
      </c>
      <c r="S828" s="325" t="s">
        <v>3100</v>
      </c>
      <c r="T828" t="str">
        <f>IFERROR(VLOOKUP(ROWS($T$3:T828),$R$3:$S$992,2,0),"")</f>
        <v>Činnosti náboženských organizací</v>
      </c>
      <c r="U828">
        <f>IF(ISNUMBER(SEARCH('1Př1'!$A$33,N828)),MAX($M$2:M827)+1,0)</f>
        <v>826</v>
      </c>
      <c r="V828" s="325" t="s">
        <v>3100</v>
      </c>
      <c r="W828" t="str">
        <f>IFERROR(VLOOKUP(ROWS($W$3:W828),$U$3:$V$992,2,0),"")</f>
        <v>Činnosti náboženských organizací</v>
      </c>
      <c r="X828">
        <f>IF(ISNUMBER(SEARCH('1Př1'!$A$34,N828)),MAX($M$2:M827)+1,0)</f>
        <v>826</v>
      </c>
      <c r="Y828" s="325" t="s">
        <v>3100</v>
      </c>
      <c r="Z828" t="str">
        <f>IFERROR(VLOOKUP(ROWS($Z$3:Z828),$X$3:$Y$992,2,0),"")</f>
        <v>Činnosti náboženských organizací</v>
      </c>
    </row>
    <row r="829" spans="13:26">
      <c r="M829" s="324">
        <f>IF(ISNUMBER(SEARCH(ZAKL_DATA!$B$29,N829)),MAX($M$2:M828)+1,0)</f>
        <v>827</v>
      </c>
      <c r="N829" s="325" t="s">
        <v>3102</v>
      </c>
      <c r="O829" s="340" t="s">
        <v>3103</v>
      </c>
      <c r="Q829" s="327" t="str">
        <f>IFERROR(VLOOKUP(ROWS($Q$3:Q829),$M$3:$N$992,2,0),"")</f>
        <v>Činnosti politických stran a organizací</v>
      </c>
      <c r="R829">
        <f>IF(ISNUMBER(SEARCH('1Př1'!$A$32,N829)),MAX($M$2:M828)+1,0)</f>
        <v>827</v>
      </c>
      <c r="S829" s="325" t="s">
        <v>3102</v>
      </c>
      <c r="T829" t="str">
        <f>IFERROR(VLOOKUP(ROWS($T$3:T829),$R$3:$S$992,2,0),"")</f>
        <v>Činnosti politických stran a organizací</v>
      </c>
      <c r="U829">
        <f>IF(ISNUMBER(SEARCH('1Př1'!$A$33,N829)),MAX($M$2:M828)+1,0)</f>
        <v>827</v>
      </c>
      <c r="V829" s="325" t="s">
        <v>3102</v>
      </c>
      <c r="W829" t="str">
        <f>IFERROR(VLOOKUP(ROWS($W$3:W829),$U$3:$V$992,2,0),"")</f>
        <v>Činnosti politických stran a organizací</v>
      </c>
      <c r="X829">
        <f>IF(ISNUMBER(SEARCH('1Př1'!$A$34,N829)),MAX($M$2:M828)+1,0)</f>
        <v>827</v>
      </c>
      <c r="Y829" s="325" t="s">
        <v>3102</v>
      </c>
      <c r="Z829" t="str">
        <f>IFERROR(VLOOKUP(ROWS($Z$3:Z829),$X$3:$Y$992,2,0),"")</f>
        <v>Činnosti politických stran a organizací</v>
      </c>
    </row>
    <row r="830" spans="13:26">
      <c r="M830" s="324">
        <f>IF(ISNUMBER(SEARCH(ZAKL_DATA!$B$29,N830)),MAX($M$2:M829)+1,0)</f>
        <v>828</v>
      </c>
      <c r="N830" s="325" t="s">
        <v>3104</v>
      </c>
      <c r="O830" s="340" t="s">
        <v>3105</v>
      </c>
      <c r="Q830" s="327" t="str">
        <f>IFERROR(VLOOKUP(ROWS($Q$3:Q830),$M$3:$N$992,2,0),"")</f>
        <v>Činnosti ost.org.sdružujících osoby za účelem prosazování spol.zájmů j.n.</v>
      </c>
      <c r="R830">
        <f>IF(ISNUMBER(SEARCH('1Př1'!$A$32,N830)),MAX($M$2:M829)+1,0)</f>
        <v>828</v>
      </c>
      <c r="S830" s="325" t="s">
        <v>3104</v>
      </c>
      <c r="T830" t="str">
        <f>IFERROR(VLOOKUP(ROWS($T$3:T830),$R$3:$S$992,2,0),"")</f>
        <v>Činnosti ost.org.sdružujících osoby za účelem prosazování spol.zájmů j.n.</v>
      </c>
      <c r="U830">
        <f>IF(ISNUMBER(SEARCH('1Př1'!$A$33,N830)),MAX($M$2:M829)+1,0)</f>
        <v>828</v>
      </c>
      <c r="V830" s="325" t="s">
        <v>3104</v>
      </c>
      <c r="W830" t="str">
        <f>IFERROR(VLOOKUP(ROWS($W$3:W830),$U$3:$V$992,2,0),"")</f>
        <v>Činnosti ost.org.sdružujících osoby za účelem prosazování spol.zájmů j.n.</v>
      </c>
      <c r="X830">
        <f>IF(ISNUMBER(SEARCH('1Př1'!$A$34,N830)),MAX($M$2:M829)+1,0)</f>
        <v>828</v>
      </c>
      <c r="Y830" s="325" t="s">
        <v>3104</v>
      </c>
      <c r="Z830" t="str">
        <f>IFERROR(VLOOKUP(ROWS($Z$3:Z830),$X$3:$Y$992,2,0),"")</f>
        <v>Činnosti ost.org.sdružujících osoby za účelem prosazování spol.zájmů j.n.</v>
      </c>
    </row>
    <row r="831" spans="13:26">
      <c r="M831" s="324">
        <f>IF(ISNUMBER(SEARCH(ZAKL_DATA!$B$29,N831)),MAX($M$2:M830)+1,0)</f>
        <v>829</v>
      </c>
      <c r="N831" s="325" t="s">
        <v>3106</v>
      </c>
      <c r="O831" s="340" t="s">
        <v>3107</v>
      </c>
      <c r="Q831" s="327" t="str">
        <f>IFERROR(VLOOKUP(ROWS($Q$3:Q831),$M$3:$N$992,2,0),"")</f>
        <v>Opravy počítačů a periferních zařízení</v>
      </c>
      <c r="R831">
        <f>IF(ISNUMBER(SEARCH('1Př1'!$A$32,N831)),MAX($M$2:M830)+1,0)</f>
        <v>829</v>
      </c>
      <c r="S831" s="325" t="s">
        <v>3106</v>
      </c>
      <c r="T831" t="str">
        <f>IFERROR(VLOOKUP(ROWS($T$3:T831),$R$3:$S$992,2,0),"")</f>
        <v>Opravy počítačů a periferních zařízení</v>
      </c>
      <c r="U831">
        <f>IF(ISNUMBER(SEARCH('1Př1'!$A$33,N831)),MAX($M$2:M830)+1,0)</f>
        <v>829</v>
      </c>
      <c r="V831" s="325" t="s">
        <v>3106</v>
      </c>
      <c r="W831" t="str">
        <f>IFERROR(VLOOKUP(ROWS($W$3:W831),$U$3:$V$992,2,0),"")</f>
        <v>Opravy počítačů a periferních zařízení</v>
      </c>
      <c r="X831">
        <f>IF(ISNUMBER(SEARCH('1Př1'!$A$34,N831)),MAX($M$2:M830)+1,0)</f>
        <v>829</v>
      </c>
      <c r="Y831" s="325" t="s">
        <v>3106</v>
      </c>
      <c r="Z831" t="str">
        <f>IFERROR(VLOOKUP(ROWS($Z$3:Z831),$X$3:$Y$992,2,0),"")</f>
        <v>Opravy počítačů a periferních zařízení</v>
      </c>
    </row>
    <row r="832" spans="13:26">
      <c r="M832" s="324">
        <f>IF(ISNUMBER(SEARCH(ZAKL_DATA!$B$29,N832)),MAX($M$2:M831)+1,0)</f>
        <v>830</v>
      </c>
      <c r="N832" s="325" t="s">
        <v>3108</v>
      </c>
      <c r="O832" s="340" t="s">
        <v>3109</v>
      </c>
      <c r="Q832" s="327" t="str">
        <f>IFERROR(VLOOKUP(ROWS($Q$3:Q832),$M$3:$N$992,2,0),"")</f>
        <v>Opravy komunikačních zařízení</v>
      </c>
      <c r="R832">
        <f>IF(ISNUMBER(SEARCH('1Př1'!$A$32,N832)),MAX($M$2:M831)+1,0)</f>
        <v>830</v>
      </c>
      <c r="S832" s="325" t="s">
        <v>3108</v>
      </c>
      <c r="T832" t="str">
        <f>IFERROR(VLOOKUP(ROWS($T$3:T832),$R$3:$S$992,2,0),"")</f>
        <v>Opravy komunikačních zařízení</v>
      </c>
      <c r="U832">
        <f>IF(ISNUMBER(SEARCH('1Př1'!$A$33,N832)),MAX($M$2:M831)+1,0)</f>
        <v>830</v>
      </c>
      <c r="V832" s="325" t="s">
        <v>3108</v>
      </c>
      <c r="W832" t="str">
        <f>IFERROR(VLOOKUP(ROWS($W$3:W832),$U$3:$V$992,2,0),"")</f>
        <v>Opravy komunikačních zařízení</v>
      </c>
      <c r="X832">
        <f>IF(ISNUMBER(SEARCH('1Př1'!$A$34,N832)),MAX($M$2:M831)+1,0)</f>
        <v>830</v>
      </c>
      <c r="Y832" s="325" t="s">
        <v>3108</v>
      </c>
      <c r="Z832" t="str">
        <f>IFERROR(VLOOKUP(ROWS($Z$3:Z832),$X$3:$Y$992,2,0),"")</f>
        <v>Opravy komunikačních zařízení</v>
      </c>
    </row>
    <row r="833" spans="13:26">
      <c r="M833" s="324">
        <f>IF(ISNUMBER(SEARCH(ZAKL_DATA!$B$29,N833)),MAX($M$2:M832)+1,0)</f>
        <v>831</v>
      </c>
      <c r="N833" s="325" t="s">
        <v>3110</v>
      </c>
      <c r="O833" s="340" t="s">
        <v>3111</v>
      </c>
      <c r="Q833" s="327" t="str">
        <f>IFERROR(VLOOKUP(ROWS($Q$3:Q833),$M$3:$N$992,2,0),"")</f>
        <v>Opravy spotřební elektroniky</v>
      </c>
      <c r="R833">
        <f>IF(ISNUMBER(SEARCH('1Př1'!$A$32,N833)),MAX($M$2:M832)+1,0)</f>
        <v>831</v>
      </c>
      <c r="S833" s="325" t="s">
        <v>3110</v>
      </c>
      <c r="T833" t="str">
        <f>IFERROR(VLOOKUP(ROWS($T$3:T833),$R$3:$S$992,2,0),"")</f>
        <v>Opravy spotřební elektroniky</v>
      </c>
      <c r="U833">
        <f>IF(ISNUMBER(SEARCH('1Př1'!$A$33,N833)),MAX($M$2:M832)+1,0)</f>
        <v>831</v>
      </c>
      <c r="V833" s="325" t="s">
        <v>3110</v>
      </c>
      <c r="W833" t="str">
        <f>IFERROR(VLOOKUP(ROWS($W$3:W833),$U$3:$V$992,2,0),"")</f>
        <v>Opravy spotřební elektroniky</v>
      </c>
      <c r="X833">
        <f>IF(ISNUMBER(SEARCH('1Př1'!$A$34,N833)),MAX($M$2:M832)+1,0)</f>
        <v>831</v>
      </c>
      <c r="Y833" s="325" t="s">
        <v>3110</v>
      </c>
      <c r="Z833" t="str">
        <f>IFERROR(VLOOKUP(ROWS($Z$3:Z833),$X$3:$Y$992,2,0),"")</f>
        <v>Opravy spotřební elektroniky</v>
      </c>
    </row>
    <row r="834" spans="13:26">
      <c r="M834" s="324">
        <f>IF(ISNUMBER(SEARCH(ZAKL_DATA!$B$29,N834)),MAX($M$2:M833)+1,0)</f>
        <v>832</v>
      </c>
      <c r="N834" s="325" t="s">
        <v>3112</v>
      </c>
      <c r="O834" s="340" t="s">
        <v>3113</v>
      </c>
      <c r="Q834" s="327" t="str">
        <f>IFERROR(VLOOKUP(ROWS($Q$3:Q834),$M$3:$N$992,2,0),"")</f>
        <v>Opravy přístrojů a zařízení převážně pro domácnost, dům a zahradu</v>
      </c>
      <c r="R834">
        <f>IF(ISNUMBER(SEARCH('1Př1'!$A$32,N834)),MAX($M$2:M833)+1,0)</f>
        <v>832</v>
      </c>
      <c r="S834" s="325" t="s">
        <v>3112</v>
      </c>
      <c r="T834" t="str">
        <f>IFERROR(VLOOKUP(ROWS($T$3:T834),$R$3:$S$992,2,0),"")</f>
        <v>Opravy přístrojů a zařízení převážně pro domácnost, dům a zahradu</v>
      </c>
      <c r="U834">
        <f>IF(ISNUMBER(SEARCH('1Př1'!$A$33,N834)),MAX($M$2:M833)+1,0)</f>
        <v>832</v>
      </c>
      <c r="V834" s="325" t="s">
        <v>3112</v>
      </c>
      <c r="W834" t="str">
        <f>IFERROR(VLOOKUP(ROWS($W$3:W834),$U$3:$V$992,2,0),"")</f>
        <v>Opravy přístrojů a zařízení převážně pro domácnost, dům a zahradu</v>
      </c>
      <c r="X834">
        <f>IF(ISNUMBER(SEARCH('1Př1'!$A$34,N834)),MAX($M$2:M833)+1,0)</f>
        <v>832</v>
      </c>
      <c r="Y834" s="325" t="s">
        <v>3112</v>
      </c>
      <c r="Z834" t="str">
        <f>IFERROR(VLOOKUP(ROWS($Z$3:Z834),$X$3:$Y$992,2,0),"")</f>
        <v>Opravy přístrojů a zařízení převážně pro domácnost, dům a zahradu</v>
      </c>
    </row>
    <row r="835" spans="13:26">
      <c r="M835" s="324">
        <f>IF(ISNUMBER(SEARCH(ZAKL_DATA!$B$29,N835)),MAX($M$2:M834)+1,0)</f>
        <v>833</v>
      </c>
      <c r="N835" s="325" t="s">
        <v>3114</v>
      </c>
      <c r="O835" s="340" t="s">
        <v>3115</v>
      </c>
      <c r="Q835" s="327" t="str">
        <f>IFERROR(VLOOKUP(ROWS($Q$3:Q835),$M$3:$N$992,2,0),"")</f>
        <v>Opravy obuvi a kožených výrobků</v>
      </c>
      <c r="R835">
        <f>IF(ISNUMBER(SEARCH('1Př1'!$A$32,N835)),MAX($M$2:M834)+1,0)</f>
        <v>833</v>
      </c>
      <c r="S835" s="325" t="s">
        <v>3114</v>
      </c>
      <c r="T835" t="str">
        <f>IFERROR(VLOOKUP(ROWS($T$3:T835),$R$3:$S$992,2,0),"")</f>
        <v>Opravy obuvi a kožených výrobků</v>
      </c>
      <c r="U835">
        <f>IF(ISNUMBER(SEARCH('1Př1'!$A$33,N835)),MAX($M$2:M834)+1,0)</f>
        <v>833</v>
      </c>
      <c r="V835" s="325" t="s">
        <v>3114</v>
      </c>
      <c r="W835" t="str">
        <f>IFERROR(VLOOKUP(ROWS($W$3:W835),$U$3:$V$992,2,0),"")</f>
        <v>Opravy obuvi a kožených výrobků</v>
      </c>
      <c r="X835">
        <f>IF(ISNUMBER(SEARCH('1Př1'!$A$34,N835)),MAX($M$2:M834)+1,0)</f>
        <v>833</v>
      </c>
      <c r="Y835" s="325" t="s">
        <v>3114</v>
      </c>
      <c r="Z835" t="str">
        <f>IFERROR(VLOOKUP(ROWS($Z$3:Z835),$X$3:$Y$992,2,0),"")</f>
        <v>Opravy obuvi a kožených výrobků</v>
      </c>
    </row>
    <row r="836" spans="13:26">
      <c r="M836" s="324">
        <f>IF(ISNUMBER(SEARCH(ZAKL_DATA!$B$29,N836)),MAX($M$2:M835)+1,0)</f>
        <v>834</v>
      </c>
      <c r="N836" s="325" t="s">
        <v>3116</v>
      </c>
      <c r="O836" s="340" t="s">
        <v>3117</v>
      </c>
      <c r="Q836" s="327" t="str">
        <f>IFERROR(VLOOKUP(ROWS($Q$3:Q836),$M$3:$N$992,2,0),"")</f>
        <v>Opravy nábytku a bytového zařízení</v>
      </c>
      <c r="R836">
        <f>IF(ISNUMBER(SEARCH('1Př1'!$A$32,N836)),MAX($M$2:M835)+1,0)</f>
        <v>834</v>
      </c>
      <c r="S836" s="325" t="s">
        <v>3116</v>
      </c>
      <c r="T836" t="str">
        <f>IFERROR(VLOOKUP(ROWS($T$3:T836),$R$3:$S$992,2,0),"")</f>
        <v>Opravy nábytku a bytového zařízení</v>
      </c>
      <c r="U836">
        <f>IF(ISNUMBER(SEARCH('1Př1'!$A$33,N836)),MAX($M$2:M835)+1,0)</f>
        <v>834</v>
      </c>
      <c r="V836" s="325" t="s">
        <v>3116</v>
      </c>
      <c r="W836" t="str">
        <f>IFERROR(VLOOKUP(ROWS($W$3:W836),$U$3:$V$992,2,0),"")</f>
        <v>Opravy nábytku a bytového zařízení</v>
      </c>
      <c r="X836">
        <f>IF(ISNUMBER(SEARCH('1Př1'!$A$34,N836)),MAX($M$2:M835)+1,0)</f>
        <v>834</v>
      </c>
      <c r="Y836" s="325" t="s">
        <v>3116</v>
      </c>
      <c r="Z836" t="str">
        <f>IFERROR(VLOOKUP(ROWS($Z$3:Z836),$X$3:$Y$992,2,0),"")</f>
        <v>Opravy nábytku a bytového zařízení</v>
      </c>
    </row>
    <row r="837" spans="13:26">
      <c r="M837" s="324">
        <f>IF(ISNUMBER(SEARCH(ZAKL_DATA!$B$29,N837)),MAX($M$2:M836)+1,0)</f>
        <v>835</v>
      </c>
      <c r="N837" s="325" t="s">
        <v>3118</v>
      </c>
      <c r="O837" s="340" t="s">
        <v>3119</v>
      </c>
      <c r="Q837" s="327" t="str">
        <f>IFERROR(VLOOKUP(ROWS($Q$3:Q837),$M$3:$N$992,2,0),"")</f>
        <v>Opravy hodin, hodinek a klenotnických výrobků</v>
      </c>
      <c r="R837">
        <f>IF(ISNUMBER(SEARCH('1Př1'!$A$32,N837)),MAX($M$2:M836)+1,0)</f>
        <v>835</v>
      </c>
      <c r="S837" s="325" t="s">
        <v>3118</v>
      </c>
      <c r="T837" t="str">
        <f>IFERROR(VLOOKUP(ROWS($T$3:T837),$R$3:$S$992,2,0),"")</f>
        <v>Opravy hodin, hodinek a klenotnických výrobků</v>
      </c>
      <c r="U837">
        <f>IF(ISNUMBER(SEARCH('1Př1'!$A$33,N837)),MAX($M$2:M836)+1,0)</f>
        <v>835</v>
      </c>
      <c r="V837" s="325" t="s">
        <v>3118</v>
      </c>
      <c r="W837" t="str">
        <f>IFERROR(VLOOKUP(ROWS($W$3:W837),$U$3:$V$992,2,0),"")</f>
        <v>Opravy hodin, hodinek a klenotnických výrobků</v>
      </c>
      <c r="X837">
        <f>IF(ISNUMBER(SEARCH('1Př1'!$A$34,N837)),MAX($M$2:M836)+1,0)</f>
        <v>835</v>
      </c>
      <c r="Y837" s="325" t="s">
        <v>3118</v>
      </c>
      <c r="Z837" t="str">
        <f>IFERROR(VLOOKUP(ROWS($Z$3:Z837),$X$3:$Y$992,2,0),"")</f>
        <v>Opravy hodin, hodinek a klenotnických výrobků</v>
      </c>
    </row>
    <row r="838" spans="13:26">
      <c r="M838" s="324">
        <f>IF(ISNUMBER(SEARCH(ZAKL_DATA!$B$29,N838)),MAX($M$2:M837)+1,0)</f>
        <v>836</v>
      </c>
      <c r="N838" s="325" t="s">
        <v>3120</v>
      </c>
      <c r="O838" s="340" t="s">
        <v>3121</v>
      </c>
      <c r="Q838" s="327" t="str">
        <f>IFERROR(VLOOKUP(ROWS($Q$3:Q838),$M$3:$N$992,2,0),"")</f>
        <v>Opravy ostatních výrobků pro osobní potřebu a převážně pro domácnost</v>
      </c>
      <c r="R838">
        <f>IF(ISNUMBER(SEARCH('1Př1'!$A$32,N838)),MAX($M$2:M837)+1,0)</f>
        <v>836</v>
      </c>
      <c r="S838" s="325" t="s">
        <v>3120</v>
      </c>
      <c r="T838" t="str">
        <f>IFERROR(VLOOKUP(ROWS($T$3:T838),$R$3:$S$992,2,0),"")</f>
        <v>Opravy ostatních výrobků pro osobní potřebu a převážně pro domácnost</v>
      </c>
      <c r="U838">
        <f>IF(ISNUMBER(SEARCH('1Př1'!$A$33,N838)),MAX($M$2:M837)+1,0)</f>
        <v>836</v>
      </c>
      <c r="V838" s="325" t="s">
        <v>3120</v>
      </c>
      <c r="W838" t="str">
        <f>IFERROR(VLOOKUP(ROWS($W$3:W838),$U$3:$V$992,2,0),"")</f>
        <v>Opravy ostatních výrobků pro osobní potřebu a převážně pro domácnost</v>
      </c>
      <c r="X838">
        <f>IF(ISNUMBER(SEARCH('1Př1'!$A$34,N838)),MAX($M$2:M837)+1,0)</f>
        <v>836</v>
      </c>
      <c r="Y838" s="325" t="s">
        <v>3120</v>
      </c>
      <c r="Z838" t="str">
        <f>IFERROR(VLOOKUP(ROWS($Z$3:Z838),$X$3:$Y$992,2,0),"")</f>
        <v>Opravy ostatních výrobků pro osobní potřebu a převážně pro domácnost</v>
      </c>
    </row>
    <row r="839" spans="13:26">
      <c r="M839" s="324">
        <f>IF(ISNUMBER(SEARCH(ZAKL_DATA!$B$29,N839)),MAX($M$2:M838)+1,0)</f>
        <v>837</v>
      </c>
      <c r="N839" s="325" t="s">
        <v>3122</v>
      </c>
      <c r="O839" s="340" t="s">
        <v>3123</v>
      </c>
      <c r="Q839" s="327" t="str">
        <f>IFERROR(VLOOKUP(ROWS($Q$3:Q839),$M$3:$N$992,2,0),"")</f>
        <v>Praní a chemické čištění textilních a kožešinových výrobků</v>
      </c>
      <c r="R839">
        <f>IF(ISNUMBER(SEARCH('1Př1'!$A$32,N839)),MAX($M$2:M838)+1,0)</f>
        <v>837</v>
      </c>
      <c r="S839" s="325" t="s">
        <v>3122</v>
      </c>
      <c r="T839" t="str">
        <f>IFERROR(VLOOKUP(ROWS($T$3:T839),$R$3:$S$992,2,0),"")</f>
        <v>Praní a chemické čištění textilních a kožešinových výrobků</v>
      </c>
      <c r="U839">
        <f>IF(ISNUMBER(SEARCH('1Př1'!$A$33,N839)),MAX($M$2:M838)+1,0)</f>
        <v>837</v>
      </c>
      <c r="V839" s="325" t="s">
        <v>3122</v>
      </c>
      <c r="W839" t="str">
        <f>IFERROR(VLOOKUP(ROWS($W$3:W839),$U$3:$V$992,2,0),"")</f>
        <v>Praní a chemické čištění textilních a kožešinových výrobků</v>
      </c>
      <c r="X839">
        <f>IF(ISNUMBER(SEARCH('1Př1'!$A$34,N839)),MAX($M$2:M838)+1,0)</f>
        <v>837</v>
      </c>
      <c r="Y839" s="325" t="s">
        <v>3122</v>
      </c>
      <c r="Z839" t="str">
        <f>IFERROR(VLOOKUP(ROWS($Z$3:Z839),$X$3:$Y$992,2,0),"")</f>
        <v>Praní a chemické čištění textilních a kožešinových výrobků</v>
      </c>
    </row>
    <row r="840" spans="13:26">
      <c r="M840" s="324">
        <f>IF(ISNUMBER(SEARCH(ZAKL_DATA!$B$29,N840)),MAX($M$2:M839)+1,0)</f>
        <v>838</v>
      </c>
      <c r="N840" s="325" t="s">
        <v>3124</v>
      </c>
      <c r="O840" s="340" t="s">
        <v>3125</v>
      </c>
      <c r="Q840" s="327" t="str">
        <f>IFERROR(VLOOKUP(ROWS($Q$3:Q840),$M$3:$N$992,2,0),"")</f>
        <v>Kadeřnické, kosmetické a podobné činnosti</v>
      </c>
      <c r="R840">
        <f>IF(ISNUMBER(SEARCH('1Př1'!$A$32,N840)),MAX($M$2:M839)+1,0)</f>
        <v>838</v>
      </c>
      <c r="S840" s="325" t="s">
        <v>3124</v>
      </c>
      <c r="T840" t="str">
        <f>IFERROR(VLOOKUP(ROWS($T$3:T840),$R$3:$S$992,2,0),"")</f>
        <v>Kadeřnické, kosmetické a podobné činnosti</v>
      </c>
      <c r="U840">
        <f>IF(ISNUMBER(SEARCH('1Př1'!$A$33,N840)),MAX($M$2:M839)+1,0)</f>
        <v>838</v>
      </c>
      <c r="V840" s="325" t="s">
        <v>3124</v>
      </c>
      <c r="W840" t="str">
        <f>IFERROR(VLOOKUP(ROWS($W$3:W840),$U$3:$V$992,2,0),"")</f>
        <v>Kadeřnické, kosmetické a podobné činnosti</v>
      </c>
      <c r="X840">
        <f>IF(ISNUMBER(SEARCH('1Př1'!$A$34,N840)),MAX($M$2:M839)+1,0)</f>
        <v>838</v>
      </c>
      <c r="Y840" s="325" t="s">
        <v>3124</v>
      </c>
      <c r="Z840" t="str">
        <f>IFERROR(VLOOKUP(ROWS($Z$3:Z840),$X$3:$Y$992,2,0),"")</f>
        <v>Kadeřnické, kosmetické a podobné činnosti</v>
      </c>
    </row>
    <row r="841" spans="13:26">
      <c r="M841" s="324">
        <f>IF(ISNUMBER(SEARCH(ZAKL_DATA!$B$29,N841)),MAX($M$2:M840)+1,0)</f>
        <v>839</v>
      </c>
      <c r="N841" s="325" t="s">
        <v>3126</v>
      </c>
      <c r="O841" s="340" t="s">
        <v>3127</v>
      </c>
      <c r="Q841" s="327" t="str">
        <f>IFERROR(VLOOKUP(ROWS($Q$3:Q841),$M$3:$N$992,2,0),"")</f>
        <v>Pohřební a související činnosti</v>
      </c>
      <c r="R841">
        <f>IF(ISNUMBER(SEARCH('1Př1'!$A$32,N841)),MAX($M$2:M840)+1,0)</f>
        <v>839</v>
      </c>
      <c r="S841" s="325" t="s">
        <v>3126</v>
      </c>
      <c r="T841" t="str">
        <f>IFERROR(VLOOKUP(ROWS($T$3:T841),$R$3:$S$992,2,0),"")</f>
        <v>Pohřební a související činnosti</v>
      </c>
      <c r="U841">
        <f>IF(ISNUMBER(SEARCH('1Př1'!$A$33,N841)),MAX($M$2:M840)+1,0)</f>
        <v>839</v>
      </c>
      <c r="V841" s="325" t="s">
        <v>3126</v>
      </c>
      <c r="W841" t="str">
        <f>IFERROR(VLOOKUP(ROWS($W$3:W841),$U$3:$V$992,2,0),"")</f>
        <v>Pohřební a související činnosti</v>
      </c>
      <c r="X841">
        <f>IF(ISNUMBER(SEARCH('1Př1'!$A$34,N841)),MAX($M$2:M840)+1,0)</f>
        <v>839</v>
      </c>
      <c r="Y841" s="325" t="s">
        <v>3126</v>
      </c>
      <c r="Z841" t="str">
        <f>IFERROR(VLOOKUP(ROWS($Z$3:Z841),$X$3:$Y$992,2,0),"")</f>
        <v>Pohřební a související činnosti</v>
      </c>
    </row>
    <row r="842" spans="13:26">
      <c r="M842" s="324">
        <f>IF(ISNUMBER(SEARCH(ZAKL_DATA!$B$29,N842)),MAX($M$2:M841)+1,0)</f>
        <v>840</v>
      </c>
      <c r="N842" s="325" t="s">
        <v>3128</v>
      </c>
      <c r="O842" s="340" t="s">
        <v>3129</v>
      </c>
      <c r="Q842" s="327" t="str">
        <f>IFERROR(VLOOKUP(ROWS($Q$3:Q842),$M$3:$N$992,2,0),"")</f>
        <v>Činnosti pro osobní a fyzickou pohodu</v>
      </c>
      <c r="R842">
        <f>IF(ISNUMBER(SEARCH('1Př1'!$A$32,N842)),MAX($M$2:M841)+1,0)</f>
        <v>840</v>
      </c>
      <c r="S842" s="325" t="s">
        <v>3128</v>
      </c>
      <c r="T842" t="str">
        <f>IFERROR(VLOOKUP(ROWS($T$3:T842),$R$3:$S$992,2,0),"")</f>
        <v>Činnosti pro osobní a fyzickou pohodu</v>
      </c>
      <c r="U842">
        <f>IF(ISNUMBER(SEARCH('1Př1'!$A$33,N842)),MAX($M$2:M841)+1,0)</f>
        <v>840</v>
      </c>
      <c r="V842" s="325" t="s">
        <v>3128</v>
      </c>
      <c r="W842" t="str">
        <f>IFERROR(VLOOKUP(ROWS($W$3:W842),$U$3:$V$992,2,0),"")</f>
        <v>Činnosti pro osobní a fyzickou pohodu</v>
      </c>
      <c r="X842">
        <f>IF(ISNUMBER(SEARCH('1Př1'!$A$34,N842)),MAX($M$2:M841)+1,0)</f>
        <v>840</v>
      </c>
      <c r="Y842" s="325" t="s">
        <v>3128</v>
      </c>
      <c r="Z842" t="str">
        <f>IFERROR(VLOOKUP(ROWS($Z$3:Z842),$X$3:$Y$992,2,0),"")</f>
        <v>Činnosti pro osobní a fyzickou pohodu</v>
      </c>
    </row>
    <row r="843" spans="13:26">
      <c r="M843" s="324">
        <f>IF(ISNUMBER(SEARCH(ZAKL_DATA!$B$29,N843)),MAX($M$2:M842)+1,0)</f>
        <v>841</v>
      </c>
      <c r="N843" s="325" t="s">
        <v>3130</v>
      </c>
      <c r="O843" s="340" t="s">
        <v>3131</v>
      </c>
      <c r="Q843" s="327" t="str">
        <f>IFERROR(VLOOKUP(ROWS($Q$3:Q843),$M$3:$N$992,2,0),"")</f>
        <v>Poskytování ostatních osobních služeb j. n.</v>
      </c>
      <c r="R843">
        <f>IF(ISNUMBER(SEARCH('1Př1'!$A$32,N843)),MAX($M$2:M842)+1,0)</f>
        <v>841</v>
      </c>
      <c r="S843" s="325" t="s">
        <v>3130</v>
      </c>
      <c r="T843" t="str">
        <f>IFERROR(VLOOKUP(ROWS($T$3:T843),$R$3:$S$992,2,0),"")</f>
        <v>Poskytování ostatních osobních služeb j. n.</v>
      </c>
      <c r="U843">
        <f>IF(ISNUMBER(SEARCH('1Př1'!$A$33,N843)),MAX($M$2:M842)+1,0)</f>
        <v>841</v>
      </c>
      <c r="V843" s="325" t="s">
        <v>3130</v>
      </c>
      <c r="W843" t="str">
        <f>IFERROR(VLOOKUP(ROWS($W$3:W843),$U$3:$V$992,2,0),"")</f>
        <v>Poskytování ostatních osobních služeb j. n.</v>
      </c>
      <c r="X843">
        <f>IF(ISNUMBER(SEARCH('1Př1'!$A$34,N843)),MAX($M$2:M842)+1,0)</f>
        <v>841</v>
      </c>
      <c r="Y843" s="325" t="s">
        <v>3130</v>
      </c>
      <c r="Z843" t="str">
        <f>IFERROR(VLOOKUP(ROWS($Z$3:Z843),$X$3:$Y$992,2,0),"")</f>
        <v>Poskytování ostatních osobních služeb j. n.</v>
      </c>
    </row>
    <row r="844" spans="13:26">
      <c r="M844" s="324">
        <f>IF(ISNUMBER(SEARCH(ZAKL_DATA!$B$29,N844)),MAX($M$2:M843)+1,0)</f>
        <v>842</v>
      </c>
      <c r="N844" s="325" t="s">
        <v>3132</v>
      </c>
      <c r="O844" s="340" t="s">
        <v>2222</v>
      </c>
      <c r="Q844" s="327" t="str">
        <f>IFERROR(VLOOKUP(ROWS($Q$3:Q844),$M$3:$N$992,2,0),"")</f>
        <v>Činnosti domácností produk.blíže neurčené výrobky pro vlastní potřebu</v>
      </c>
      <c r="R844">
        <f>IF(ISNUMBER(SEARCH('1Př1'!$A$32,N844)),MAX($M$2:M843)+1,0)</f>
        <v>842</v>
      </c>
      <c r="S844" s="325" t="s">
        <v>3132</v>
      </c>
      <c r="T844" t="str">
        <f>IFERROR(VLOOKUP(ROWS($T$3:T844),$R$3:$S$992,2,0),"")</f>
        <v>Činnosti domácností produk.blíže neurčené výrobky pro vlastní potřebu</v>
      </c>
      <c r="U844">
        <f>IF(ISNUMBER(SEARCH('1Př1'!$A$33,N844)),MAX($M$2:M843)+1,0)</f>
        <v>842</v>
      </c>
      <c r="V844" s="325" t="s">
        <v>3132</v>
      </c>
      <c r="W844" t="str">
        <f>IFERROR(VLOOKUP(ROWS($W$3:W844),$U$3:$V$992,2,0),"")</f>
        <v>Činnosti domácností produk.blíže neurčené výrobky pro vlastní potřebu</v>
      </c>
      <c r="X844">
        <f>IF(ISNUMBER(SEARCH('1Př1'!$A$34,N844)),MAX($M$2:M843)+1,0)</f>
        <v>842</v>
      </c>
      <c r="Y844" s="325" t="s">
        <v>3132</v>
      </c>
      <c r="Z844" t="str">
        <f>IFERROR(VLOOKUP(ROWS($Z$3:Z844),$X$3:$Y$992,2,0),"")</f>
        <v>Činnosti domácností produk.blíže neurčené výrobky pro vlastní potřebu</v>
      </c>
    </row>
    <row r="845" spans="13:26">
      <c r="M845" s="324">
        <f>IF(ISNUMBER(SEARCH(ZAKL_DATA!$B$29,N845)),MAX($M$2:M844)+1,0)</f>
        <v>843</v>
      </c>
      <c r="N845" s="325" t="s">
        <v>3133</v>
      </c>
      <c r="O845" s="340" t="s">
        <v>3134</v>
      </c>
      <c r="Q845" s="327" t="str">
        <f>IFERROR(VLOOKUP(ROWS($Q$3:Q845),$M$3:$N$992,2,0),"")</f>
        <v>Výroba obuvi s usňovým svrškem</v>
      </c>
      <c r="R845">
        <f>IF(ISNUMBER(SEARCH('1Př1'!$A$32,N845)),MAX($M$2:M844)+1,0)</f>
        <v>843</v>
      </c>
      <c r="S845" s="325" t="s">
        <v>3133</v>
      </c>
      <c r="T845" t="str">
        <f>IFERROR(VLOOKUP(ROWS($T$3:T845),$R$3:$S$992,2,0),"")</f>
        <v>Výroba obuvi s usňovým svrškem</v>
      </c>
      <c r="U845">
        <f>IF(ISNUMBER(SEARCH('1Př1'!$A$33,N845)),MAX($M$2:M844)+1,0)</f>
        <v>843</v>
      </c>
      <c r="V845" s="325" t="s">
        <v>3133</v>
      </c>
      <c r="W845" t="str">
        <f>IFERROR(VLOOKUP(ROWS($W$3:W845),$U$3:$V$992,2,0),"")</f>
        <v>Výroba obuvi s usňovým svrškem</v>
      </c>
      <c r="X845">
        <f>IF(ISNUMBER(SEARCH('1Př1'!$A$34,N845)),MAX($M$2:M844)+1,0)</f>
        <v>843</v>
      </c>
      <c r="Y845" s="325" t="s">
        <v>3133</v>
      </c>
      <c r="Z845" t="str">
        <f>IFERROR(VLOOKUP(ROWS($Z$3:Z845),$X$3:$Y$992,2,0),"")</f>
        <v>Výroba obuvi s usňovým svrškem</v>
      </c>
    </row>
    <row r="846" spans="13:26">
      <c r="M846" s="324">
        <f>IF(ISNUMBER(SEARCH(ZAKL_DATA!$B$29,N846)),MAX($M$2:M845)+1,0)</f>
        <v>844</v>
      </c>
      <c r="N846" s="325" t="s">
        <v>3135</v>
      </c>
      <c r="O846" s="340" t="s">
        <v>3136</v>
      </c>
      <c r="Q846" s="327" t="str">
        <f>IFERROR(VLOOKUP(ROWS($Q$3:Q846),$M$3:$N$992,2,0),"")</f>
        <v>Výroba obuvi z ostatních materiálů</v>
      </c>
      <c r="R846">
        <f>IF(ISNUMBER(SEARCH('1Př1'!$A$32,N846)),MAX($M$2:M845)+1,0)</f>
        <v>844</v>
      </c>
      <c r="S846" s="325" t="s">
        <v>3135</v>
      </c>
      <c r="T846" t="str">
        <f>IFERROR(VLOOKUP(ROWS($T$3:T846),$R$3:$S$992,2,0),"")</f>
        <v>Výroba obuvi z ostatních materiálů</v>
      </c>
      <c r="U846">
        <f>IF(ISNUMBER(SEARCH('1Př1'!$A$33,N846)),MAX($M$2:M845)+1,0)</f>
        <v>844</v>
      </c>
      <c r="V846" s="325" t="s">
        <v>3135</v>
      </c>
      <c r="W846" t="str">
        <f>IFERROR(VLOOKUP(ROWS($W$3:W846),$U$3:$V$992,2,0),"")</f>
        <v>Výroba obuvi z ostatních materiálů</v>
      </c>
      <c r="X846">
        <f>IF(ISNUMBER(SEARCH('1Př1'!$A$34,N846)),MAX($M$2:M845)+1,0)</f>
        <v>844</v>
      </c>
      <c r="Y846" s="325" t="s">
        <v>3135</v>
      </c>
      <c r="Z846" t="str">
        <f>IFERROR(VLOOKUP(ROWS($Z$3:Z846),$X$3:$Y$992,2,0),"")</f>
        <v>Výroba obuvi z ostatních materiálů</v>
      </c>
    </row>
    <row r="847" spans="13:26">
      <c r="M847" s="324">
        <f>IF(ISNUMBER(SEARCH(ZAKL_DATA!$B$29,N847)),MAX($M$2:M846)+1,0)</f>
        <v>845</v>
      </c>
      <c r="N847" s="325" t="s">
        <v>3137</v>
      </c>
      <c r="O847" s="340" t="s">
        <v>3138</v>
      </c>
      <c r="Q847" s="327" t="str">
        <f>IFERROR(VLOOKUP(ROWS($Q$3:Q847),$M$3:$N$992,2,0),"")</f>
        <v>Výroba chemických buničin</v>
      </c>
      <c r="R847">
        <f>IF(ISNUMBER(SEARCH('1Př1'!$A$32,N847)),MAX($M$2:M846)+1,0)</f>
        <v>845</v>
      </c>
      <c r="S847" s="325" t="s">
        <v>3137</v>
      </c>
      <c r="T847" t="str">
        <f>IFERROR(VLOOKUP(ROWS($T$3:T847),$R$3:$S$992,2,0),"")</f>
        <v>Výroba chemických buničin</v>
      </c>
      <c r="U847">
        <f>IF(ISNUMBER(SEARCH('1Př1'!$A$33,N847)),MAX($M$2:M846)+1,0)</f>
        <v>845</v>
      </c>
      <c r="V847" s="325" t="s">
        <v>3137</v>
      </c>
      <c r="W847" t="str">
        <f>IFERROR(VLOOKUP(ROWS($W$3:W847),$U$3:$V$992,2,0),"")</f>
        <v>Výroba chemických buničin</v>
      </c>
      <c r="X847">
        <f>IF(ISNUMBER(SEARCH('1Př1'!$A$34,N847)),MAX($M$2:M846)+1,0)</f>
        <v>845</v>
      </c>
      <c r="Y847" s="325" t="s">
        <v>3137</v>
      </c>
      <c r="Z847" t="str">
        <f>IFERROR(VLOOKUP(ROWS($Z$3:Z847),$X$3:$Y$992,2,0),"")</f>
        <v>Výroba chemických buničin</v>
      </c>
    </row>
    <row r="848" spans="13:26">
      <c r="M848" s="324">
        <f>IF(ISNUMBER(SEARCH(ZAKL_DATA!$B$29,N848)),MAX($M$2:M847)+1,0)</f>
        <v>846</v>
      </c>
      <c r="N848" s="325" t="s">
        <v>3139</v>
      </c>
      <c r="O848" s="340" t="s">
        <v>3140</v>
      </c>
      <c r="Q848" s="327" t="str">
        <f>IFERROR(VLOOKUP(ROWS($Q$3:Q848),$M$3:$N$992,2,0),"")</f>
        <v>Výroba mechanických vláknin</v>
      </c>
      <c r="R848">
        <f>IF(ISNUMBER(SEARCH('1Př1'!$A$32,N848)),MAX($M$2:M847)+1,0)</f>
        <v>846</v>
      </c>
      <c r="S848" s="325" t="s">
        <v>3139</v>
      </c>
      <c r="T848" t="str">
        <f>IFERROR(VLOOKUP(ROWS($T$3:T848),$R$3:$S$992,2,0),"")</f>
        <v>Výroba mechanických vláknin</v>
      </c>
      <c r="U848">
        <f>IF(ISNUMBER(SEARCH('1Př1'!$A$33,N848)),MAX($M$2:M847)+1,0)</f>
        <v>846</v>
      </c>
      <c r="V848" s="325" t="s">
        <v>3139</v>
      </c>
      <c r="W848" t="str">
        <f>IFERROR(VLOOKUP(ROWS($W$3:W848),$U$3:$V$992,2,0),"")</f>
        <v>Výroba mechanických vláknin</v>
      </c>
      <c r="X848">
        <f>IF(ISNUMBER(SEARCH('1Př1'!$A$34,N848)),MAX($M$2:M847)+1,0)</f>
        <v>846</v>
      </c>
      <c r="Y848" s="325" t="s">
        <v>3139</v>
      </c>
      <c r="Z848" t="str">
        <f>IFERROR(VLOOKUP(ROWS($Z$3:Z848),$X$3:$Y$992,2,0),"")</f>
        <v>Výroba mechanických vláknin</v>
      </c>
    </row>
    <row r="849" spans="13:26">
      <c r="M849" s="324">
        <f>IF(ISNUMBER(SEARCH(ZAKL_DATA!$B$29,N849)),MAX($M$2:M848)+1,0)</f>
        <v>847</v>
      </c>
      <c r="N849" s="325" t="s">
        <v>3141</v>
      </c>
      <c r="O849" s="340" t="s">
        <v>3142</v>
      </c>
      <c r="Q849" s="327" t="str">
        <f>IFERROR(VLOOKUP(ROWS($Q$3:Q849),$M$3:$N$992,2,0),"")</f>
        <v>Výroba ostatních papírenských vláknin</v>
      </c>
      <c r="R849">
        <f>IF(ISNUMBER(SEARCH('1Př1'!$A$32,N849)),MAX($M$2:M848)+1,0)</f>
        <v>847</v>
      </c>
      <c r="S849" s="325" t="s">
        <v>3141</v>
      </c>
      <c r="T849" t="str">
        <f>IFERROR(VLOOKUP(ROWS($T$3:T849),$R$3:$S$992,2,0),"")</f>
        <v>Výroba ostatních papírenských vláknin</v>
      </c>
      <c r="U849">
        <f>IF(ISNUMBER(SEARCH('1Př1'!$A$33,N849)),MAX($M$2:M848)+1,0)</f>
        <v>847</v>
      </c>
      <c r="V849" s="325" t="s">
        <v>3141</v>
      </c>
      <c r="W849" t="str">
        <f>IFERROR(VLOOKUP(ROWS($W$3:W849),$U$3:$V$992,2,0),"")</f>
        <v>Výroba ostatních papírenských vláknin</v>
      </c>
      <c r="X849">
        <f>IF(ISNUMBER(SEARCH('1Př1'!$A$34,N849)),MAX($M$2:M848)+1,0)</f>
        <v>847</v>
      </c>
      <c r="Y849" s="325" t="s">
        <v>3141</v>
      </c>
      <c r="Z849" t="str">
        <f>IFERROR(VLOOKUP(ROWS($Z$3:Z849),$X$3:$Y$992,2,0),"")</f>
        <v>Výroba ostatních papírenských vláknin</v>
      </c>
    </row>
    <row r="850" spans="13:26">
      <c r="M850" s="324">
        <f>IF(ISNUMBER(SEARCH(ZAKL_DATA!$B$29,N850)),MAX($M$2:M849)+1,0)</f>
        <v>848</v>
      </c>
      <c r="N850" s="325" t="s">
        <v>3143</v>
      </c>
      <c r="O850" s="340" t="s">
        <v>3144</v>
      </c>
      <c r="Q850" s="327" t="str">
        <f>IFERROR(VLOOKUP(ROWS($Q$3:Q850),$M$3:$N$992,2,0),"")</f>
        <v>Výroba bioet.(biolihu)pro pohon motorů a pro výr.směsí a komp.paliv</v>
      </c>
      <c r="R850">
        <f>IF(ISNUMBER(SEARCH('1Př1'!$A$32,N850)),MAX($M$2:M849)+1,0)</f>
        <v>848</v>
      </c>
      <c r="S850" s="325" t="s">
        <v>3143</v>
      </c>
      <c r="T850" t="str">
        <f>IFERROR(VLOOKUP(ROWS($T$3:T850),$R$3:$S$992,2,0),"")</f>
        <v>Výroba bioet.(biolihu)pro pohon motorů a pro výr.směsí a komp.paliv</v>
      </c>
      <c r="U850">
        <f>IF(ISNUMBER(SEARCH('1Př1'!$A$33,N850)),MAX($M$2:M849)+1,0)</f>
        <v>848</v>
      </c>
      <c r="V850" s="325" t="s">
        <v>3143</v>
      </c>
      <c r="W850" t="str">
        <f>IFERROR(VLOOKUP(ROWS($W$3:W850),$U$3:$V$992,2,0),"")</f>
        <v>Výroba bioet.(biolihu)pro pohon motorů a pro výr.směsí a komp.paliv</v>
      </c>
      <c r="X850">
        <f>IF(ISNUMBER(SEARCH('1Př1'!$A$34,N850)),MAX($M$2:M849)+1,0)</f>
        <v>848</v>
      </c>
      <c r="Y850" s="325" t="s">
        <v>3143</v>
      </c>
      <c r="Z850" t="str">
        <f>IFERROR(VLOOKUP(ROWS($Z$3:Z850),$X$3:$Y$992,2,0),"")</f>
        <v>Výroba bioet.(biolihu)pro pohon motorů a pro výr.směsí a komp.paliv</v>
      </c>
    </row>
    <row r="851" spans="13:26">
      <c r="M851" s="324">
        <f>IF(ISNUMBER(SEARCH(ZAKL_DATA!$B$29,N851)),MAX($M$2:M850)+1,0)</f>
        <v>849</v>
      </c>
      <c r="N851" s="325" t="s">
        <v>3145</v>
      </c>
      <c r="O851" s="340" t="s">
        <v>3146</v>
      </c>
      <c r="Q851" s="327" t="str">
        <f>IFERROR(VLOOKUP(ROWS($Q$3:Q851),$M$3:$N$992,2,0),"")</f>
        <v>Výroba ostatních základních organických chemických látek</v>
      </c>
      <c r="R851">
        <f>IF(ISNUMBER(SEARCH('1Př1'!$A$32,N851)),MAX($M$2:M850)+1,0)</f>
        <v>849</v>
      </c>
      <c r="S851" s="325" t="s">
        <v>3145</v>
      </c>
      <c r="T851" t="str">
        <f>IFERROR(VLOOKUP(ROWS($T$3:T851),$R$3:$S$992,2,0),"")</f>
        <v>Výroba ostatních základních organických chemických látek</v>
      </c>
      <c r="U851">
        <f>IF(ISNUMBER(SEARCH('1Př1'!$A$33,N851)),MAX($M$2:M850)+1,0)</f>
        <v>849</v>
      </c>
      <c r="V851" s="325" t="s">
        <v>3145</v>
      </c>
      <c r="W851" t="str">
        <f>IFERROR(VLOOKUP(ROWS($W$3:W851),$U$3:$V$992,2,0),"")</f>
        <v>Výroba ostatních základních organických chemických látek</v>
      </c>
      <c r="X851">
        <f>IF(ISNUMBER(SEARCH('1Př1'!$A$34,N851)),MAX($M$2:M850)+1,0)</f>
        <v>849</v>
      </c>
      <c r="Y851" s="325" t="s">
        <v>3145</v>
      </c>
      <c r="Z851" t="str">
        <f>IFERROR(VLOOKUP(ROWS($Z$3:Z851),$X$3:$Y$992,2,0),"")</f>
        <v>Výroba ostatních základních organických chemických látek</v>
      </c>
    </row>
    <row r="852" spans="13:26">
      <c r="M852" s="324">
        <f>IF(ISNUMBER(SEARCH(ZAKL_DATA!$B$29,N852)),MAX($M$2:M851)+1,0)</f>
        <v>850</v>
      </c>
      <c r="N852" s="325" t="s">
        <v>3147</v>
      </c>
      <c r="O852" s="340" t="s">
        <v>3148</v>
      </c>
      <c r="Q852" s="327" t="str">
        <f>IFERROR(VLOOKUP(ROWS($Q$3:Q852),$M$3:$N$992,2,0),"")</f>
        <v>Výr.metylesterů a etylesterů mast.kys.pro pohon motorů a pro výr.sm.p.</v>
      </c>
      <c r="R852">
        <f>IF(ISNUMBER(SEARCH('1Př1'!$A$32,N852)),MAX($M$2:M851)+1,0)</f>
        <v>850</v>
      </c>
      <c r="S852" s="325" t="s">
        <v>3147</v>
      </c>
      <c r="T852" t="str">
        <f>IFERROR(VLOOKUP(ROWS($T$3:T852),$R$3:$S$992,2,0),"")</f>
        <v>Výr.metylesterů a etylesterů mast.kys.pro pohon motorů a pro výr.sm.p.</v>
      </c>
      <c r="U852">
        <f>IF(ISNUMBER(SEARCH('1Př1'!$A$33,N852)),MAX($M$2:M851)+1,0)</f>
        <v>850</v>
      </c>
      <c r="V852" s="325" t="s">
        <v>3147</v>
      </c>
      <c r="W852" t="str">
        <f>IFERROR(VLOOKUP(ROWS($W$3:W852),$U$3:$V$992,2,0),"")</f>
        <v>Výr.metylesterů a etylesterů mast.kys.pro pohon motorů a pro výr.sm.p.</v>
      </c>
      <c r="X852">
        <f>IF(ISNUMBER(SEARCH('1Př1'!$A$34,N852)),MAX($M$2:M851)+1,0)</f>
        <v>850</v>
      </c>
      <c r="Y852" s="325" t="s">
        <v>3147</v>
      </c>
      <c r="Z852" t="str">
        <f>IFERROR(VLOOKUP(ROWS($Z$3:Z852),$X$3:$Y$992,2,0),"")</f>
        <v>Výr.metylesterů a etylesterů mast.kys.pro pohon motorů a pro výr.sm.p.</v>
      </c>
    </row>
    <row r="853" spans="13:26">
      <c r="M853" s="324">
        <f>IF(ISNUMBER(SEARCH(ZAKL_DATA!$B$29,N853)),MAX($M$2:M852)+1,0)</f>
        <v>851</v>
      </c>
      <c r="N853" s="325" t="s">
        <v>3149</v>
      </c>
      <c r="O853" s="340" t="s">
        <v>3150</v>
      </c>
      <c r="Q853" s="327" t="str">
        <f>IFERROR(VLOOKUP(ROWS($Q$3:Q853),$M$3:$N$992,2,0),"")</f>
        <v>Výroba jiných chemických výrobků j. n.</v>
      </c>
      <c r="R853">
        <f>IF(ISNUMBER(SEARCH('1Př1'!$A$32,N853)),MAX($M$2:M852)+1,0)</f>
        <v>851</v>
      </c>
      <c r="S853" s="325" t="s">
        <v>3149</v>
      </c>
      <c r="T853" t="str">
        <f>IFERROR(VLOOKUP(ROWS($T$3:T853),$R$3:$S$992,2,0),"")</f>
        <v>Výroba jiných chemických výrobků j. n.</v>
      </c>
      <c r="U853">
        <f>IF(ISNUMBER(SEARCH('1Př1'!$A$33,N853)),MAX($M$2:M852)+1,0)</f>
        <v>851</v>
      </c>
      <c r="V853" s="325" t="s">
        <v>3149</v>
      </c>
      <c r="W853" t="str">
        <f>IFERROR(VLOOKUP(ROWS($W$3:W853),$U$3:$V$992,2,0),"")</f>
        <v>Výroba jiných chemických výrobků j. n.</v>
      </c>
      <c r="X853">
        <f>IF(ISNUMBER(SEARCH('1Př1'!$A$34,N853)),MAX($M$2:M852)+1,0)</f>
        <v>851</v>
      </c>
      <c r="Y853" s="325" t="s">
        <v>3149</v>
      </c>
      <c r="Z853" t="str">
        <f>IFERROR(VLOOKUP(ROWS($Z$3:Z853),$X$3:$Y$992,2,0),"")</f>
        <v>Výroba jiných chemických výrobků j. n.</v>
      </c>
    </row>
    <row r="854" spans="13:26">
      <c r="M854" s="324">
        <f>IF(ISNUMBER(SEARCH(ZAKL_DATA!$B$29,N854)),MAX($M$2:M853)+1,0)</f>
        <v>852</v>
      </c>
      <c r="N854" s="325" t="s">
        <v>3151</v>
      </c>
      <c r="O854" s="340" t="s">
        <v>3152</v>
      </c>
      <c r="Q854" s="327" t="str">
        <f>IFERROR(VLOOKUP(ROWS($Q$3:Q854),$M$3:$N$992,2,0),"")</f>
        <v>Výroba surového železa, oceli a feroslitin</v>
      </c>
      <c r="R854">
        <f>IF(ISNUMBER(SEARCH('1Př1'!$A$32,N854)),MAX($M$2:M853)+1,0)</f>
        <v>852</v>
      </c>
      <c r="S854" s="325" t="s">
        <v>3151</v>
      </c>
      <c r="T854" t="str">
        <f>IFERROR(VLOOKUP(ROWS($T$3:T854),$R$3:$S$992,2,0),"")</f>
        <v>Výroba surového železa, oceli a feroslitin</v>
      </c>
      <c r="U854">
        <f>IF(ISNUMBER(SEARCH('1Př1'!$A$33,N854)),MAX($M$2:M853)+1,0)</f>
        <v>852</v>
      </c>
      <c r="V854" s="325" t="s">
        <v>3151</v>
      </c>
      <c r="W854" t="str">
        <f>IFERROR(VLOOKUP(ROWS($W$3:W854),$U$3:$V$992,2,0),"")</f>
        <v>Výroba surového železa, oceli a feroslitin</v>
      </c>
      <c r="X854">
        <f>IF(ISNUMBER(SEARCH('1Př1'!$A$34,N854)),MAX($M$2:M853)+1,0)</f>
        <v>852</v>
      </c>
      <c r="Y854" s="325" t="s">
        <v>3151</v>
      </c>
      <c r="Z854" t="str">
        <f>IFERROR(VLOOKUP(ROWS($Z$3:Z854),$X$3:$Y$992,2,0),"")</f>
        <v>Výroba surového železa, oceli a feroslitin</v>
      </c>
    </row>
    <row r="855" spans="13:26">
      <c r="M855" s="324">
        <f>IF(ISNUMBER(SEARCH(ZAKL_DATA!$B$29,N855)),MAX($M$2:M854)+1,0)</f>
        <v>853</v>
      </c>
      <c r="N855" s="325" t="s">
        <v>3153</v>
      </c>
      <c r="O855" s="340" t="s">
        <v>3154</v>
      </c>
      <c r="Q855" s="327" t="str">
        <f>IFERROR(VLOOKUP(ROWS($Q$3:Q855),$M$3:$N$992,2,0),"")</f>
        <v>Výroba plochých výrobků (kromě pásky za studena)</v>
      </c>
      <c r="R855">
        <f>IF(ISNUMBER(SEARCH('1Př1'!$A$32,N855)),MAX($M$2:M854)+1,0)</f>
        <v>853</v>
      </c>
      <c r="S855" s="325" t="s">
        <v>3153</v>
      </c>
      <c r="T855" t="str">
        <f>IFERROR(VLOOKUP(ROWS($T$3:T855),$R$3:$S$992,2,0),"")</f>
        <v>Výroba plochých výrobků (kromě pásky za studena)</v>
      </c>
      <c r="U855">
        <f>IF(ISNUMBER(SEARCH('1Př1'!$A$33,N855)),MAX($M$2:M854)+1,0)</f>
        <v>853</v>
      </c>
      <c r="V855" s="325" t="s">
        <v>3153</v>
      </c>
      <c r="W855" t="str">
        <f>IFERROR(VLOOKUP(ROWS($W$3:W855),$U$3:$V$992,2,0),"")</f>
        <v>Výroba plochých výrobků (kromě pásky za studena)</v>
      </c>
      <c r="X855">
        <f>IF(ISNUMBER(SEARCH('1Př1'!$A$34,N855)),MAX($M$2:M854)+1,0)</f>
        <v>853</v>
      </c>
      <c r="Y855" s="325" t="s">
        <v>3153</v>
      </c>
      <c r="Z855" t="str">
        <f>IFERROR(VLOOKUP(ROWS($Z$3:Z855),$X$3:$Y$992,2,0),"")</f>
        <v>Výroba plochých výrobků (kromě pásky za studena)</v>
      </c>
    </row>
    <row r="856" spans="13:26">
      <c r="M856" s="324">
        <f>IF(ISNUMBER(SEARCH(ZAKL_DATA!$B$29,N856)),MAX($M$2:M855)+1,0)</f>
        <v>854</v>
      </c>
      <c r="N856" s="325" t="s">
        <v>3155</v>
      </c>
      <c r="O856" s="340" t="s">
        <v>3156</v>
      </c>
      <c r="Q856" s="327" t="str">
        <f>IFERROR(VLOOKUP(ROWS($Q$3:Q856),$M$3:$N$992,2,0),"")</f>
        <v>Tváření výrobků za tepla</v>
      </c>
      <c r="R856">
        <f>IF(ISNUMBER(SEARCH('1Př1'!$A$32,N856)),MAX($M$2:M855)+1,0)</f>
        <v>854</v>
      </c>
      <c r="S856" s="325" t="s">
        <v>3155</v>
      </c>
      <c r="T856" t="str">
        <f>IFERROR(VLOOKUP(ROWS($T$3:T856),$R$3:$S$992,2,0),"")</f>
        <v>Tváření výrobků za tepla</v>
      </c>
      <c r="U856">
        <f>IF(ISNUMBER(SEARCH('1Př1'!$A$33,N856)),MAX($M$2:M855)+1,0)</f>
        <v>854</v>
      </c>
      <c r="V856" s="325" t="s">
        <v>3155</v>
      </c>
      <c r="W856" t="str">
        <f>IFERROR(VLOOKUP(ROWS($W$3:W856),$U$3:$V$992,2,0),"")</f>
        <v>Tváření výrobků za tepla</v>
      </c>
      <c r="X856">
        <f>IF(ISNUMBER(SEARCH('1Př1'!$A$34,N856)),MAX($M$2:M855)+1,0)</f>
        <v>854</v>
      </c>
      <c r="Y856" s="325" t="s">
        <v>3155</v>
      </c>
      <c r="Z856" t="str">
        <f>IFERROR(VLOOKUP(ROWS($Z$3:Z856),$X$3:$Y$992,2,0),"")</f>
        <v>Tváření výrobků za tepla</v>
      </c>
    </row>
    <row r="857" spans="13:26">
      <c r="M857" s="324">
        <f>IF(ISNUMBER(SEARCH(ZAKL_DATA!$B$29,N857)),MAX($M$2:M856)+1,0)</f>
        <v>855</v>
      </c>
      <c r="N857" s="325" t="s">
        <v>3157</v>
      </c>
      <c r="O857" s="340" t="s">
        <v>3158</v>
      </c>
      <c r="Q857" s="327" t="str">
        <f>IFERROR(VLOOKUP(ROWS($Q$3:Q857),$M$3:$N$992,2,0),"")</f>
        <v>Výroba odlitků z litiny s lupínkovým grafitem</v>
      </c>
      <c r="R857">
        <f>IF(ISNUMBER(SEARCH('1Př1'!$A$32,N857)),MAX($M$2:M856)+1,0)</f>
        <v>855</v>
      </c>
      <c r="S857" s="325" t="s">
        <v>3157</v>
      </c>
      <c r="T857" t="str">
        <f>IFERROR(VLOOKUP(ROWS($T$3:T857),$R$3:$S$992,2,0),"")</f>
        <v>Výroba odlitků z litiny s lupínkovým grafitem</v>
      </c>
      <c r="U857">
        <f>IF(ISNUMBER(SEARCH('1Př1'!$A$33,N857)),MAX($M$2:M856)+1,0)</f>
        <v>855</v>
      </c>
      <c r="V857" s="325" t="s">
        <v>3157</v>
      </c>
      <c r="W857" t="str">
        <f>IFERROR(VLOOKUP(ROWS($W$3:W857),$U$3:$V$992,2,0),"")</f>
        <v>Výroba odlitků z litiny s lupínkovým grafitem</v>
      </c>
      <c r="X857">
        <f>IF(ISNUMBER(SEARCH('1Př1'!$A$34,N857)),MAX($M$2:M856)+1,0)</f>
        <v>855</v>
      </c>
      <c r="Y857" s="325" t="s">
        <v>3157</v>
      </c>
      <c r="Z857" t="str">
        <f>IFERROR(VLOOKUP(ROWS($Z$3:Z857),$X$3:$Y$992,2,0),"")</f>
        <v>Výroba odlitků z litiny s lupínkovým grafitem</v>
      </c>
    </row>
    <row r="858" spans="13:26">
      <c r="M858" s="324">
        <f>IF(ISNUMBER(SEARCH(ZAKL_DATA!$B$29,N858)),MAX($M$2:M857)+1,0)</f>
        <v>856</v>
      </c>
      <c r="N858" s="325" t="s">
        <v>3159</v>
      </c>
      <c r="O858" s="340" t="s">
        <v>3160</v>
      </c>
      <c r="Q858" s="327" t="str">
        <f>IFERROR(VLOOKUP(ROWS($Q$3:Q858),$M$3:$N$992,2,0),"")</f>
        <v>Výroba odlitků z litiny s kuličkovým grafitem</v>
      </c>
      <c r="R858">
        <f>IF(ISNUMBER(SEARCH('1Př1'!$A$32,N858)),MAX($M$2:M857)+1,0)</f>
        <v>856</v>
      </c>
      <c r="S858" s="325" t="s">
        <v>3159</v>
      </c>
      <c r="T858" t="str">
        <f>IFERROR(VLOOKUP(ROWS($T$3:T858),$R$3:$S$992,2,0),"")</f>
        <v>Výroba odlitků z litiny s kuličkovým grafitem</v>
      </c>
      <c r="U858">
        <f>IF(ISNUMBER(SEARCH('1Př1'!$A$33,N858)),MAX($M$2:M857)+1,0)</f>
        <v>856</v>
      </c>
      <c r="V858" s="325" t="s">
        <v>3159</v>
      </c>
      <c r="W858" t="str">
        <f>IFERROR(VLOOKUP(ROWS($W$3:W858),$U$3:$V$992,2,0),"")</f>
        <v>Výroba odlitků z litiny s kuličkovým grafitem</v>
      </c>
      <c r="X858">
        <f>IF(ISNUMBER(SEARCH('1Př1'!$A$34,N858)),MAX($M$2:M857)+1,0)</f>
        <v>856</v>
      </c>
      <c r="Y858" s="325" t="s">
        <v>3159</v>
      </c>
      <c r="Z858" t="str">
        <f>IFERROR(VLOOKUP(ROWS($Z$3:Z858),$X$3:$Y$992,2,0),"")</f>
        <v>Výroba odlitků z litiny s kuličkovým grafitem</v>
      </c>
    </row>
    <row r="859" spans="13:26">
      <c r="M859" s="324">
        <f>IF(ISNUMBER(SEARCH(ZAKL_DATA!$B$29,N859)),MAX($M$2:M858)+1,0)</f>
        <v>857</v>
      </c>
      <c r="N859" s="325" t="s">
        <v>3161</v>
      </c>
      <c r="O859" s="340" t="s">
        <v>3162</v>
      </c>
      <c r="Q859" s="327" t="str">
        <f>IFERROR(VLOOKUP(ROWS($Q$3:Q859),$M$3:$N$992,2,0),"")</f>
        <v>Výroba ostatních odlitků z litiny</v>
      </c>
      <c r="R859">
        <f>IF(ISNUMBER(SEARCH('1Př1'!$A$32,N859)),MAX($M$2:M858)+1,0)</f>
        <v>857</v>
      </c>
      <c r="S859" s="325" t="s">
        <v>3161</v>
      </c>
      <c r="T859" t="str">
        <f>IFERROR(VLOOKUP(ROWS($T$3:T859),$R$3:$S$992,2,0),"")</f>
        <v>Výroba ostatních odlitků z litiny</v>
      </c>
      <c r="U859">
        <f>IF(ISNUMBER(SEARCH('1Př1'!$A$33,N859)),MAX($M$2:M858)+1,0)</f>
        <v>857</v>
      </c>
      <c r="V859" s="325" t="s">
        <v>3161</v>
      </c>
      <c r="W859" t="str">
        <f>IFERROR(VLOOKUP(ROWS($W$3:W859),$U$3:$V$992,2,0),"")</f>
        <v>Výroba ostatních odlitků z litiny</v>
      </c>
      <c r="X859">
        <f>IF(ISNUMBER(SEARCH('1Př1'!$A$34,N859)),MAX($M$2:M858)+1,0)</f>
        <v>857</v>
      </c>
      <c r="Y859" s="325" t="s">
        <v>3161</v>
      </c>
      <c r="Z859" t="str">
        <f>IFERROR(VLOOKUP(ROWS($Z$3:Z859),$X$3:$Y$992,2,0),"")</f>
        <v>Výroba ostatních odlitků z litiny</v>
      </c>
    </row>
    <row r="860" spans="13:26">
      <c r="M860" s="324">
        <f>IF(ISNUMBER(SEARCH(ZAKL_DATA!$B$29,N860)),MAX($M$2:M859)+1,0)</f>
        <v>858</v>
      </c>
      <c r="N860" s="325" t="s">
        <v>3163</v>
      </c>
      <c r="O860" s="340" t="s">
        <v>3164</v>
      </c>
      <c r="Q860" s="327" t="str">
        <f>IFERROR(VLOOKUP(ROWS($Q$3:Q860),$M$3:$N$992,2,0),"")</f>
        <v>Výroba odlitků z uhlíkatých ocelí</v>
      </c>
      <c r="R860">
        <f>IF(ISNUMBER(SEARCH('1Př1'!$A$32,N860)),MAX($M$2:M859)+1,0)</f>
        <v>858</v>
      </c>
      <c r="S860" s="325" t="s">
        <v>3163</v>
      </c>
      <c r="T860" t="str">
        <f>IFERROR(VLOOKUP(ROWS($T$3:T860),$R$3:$S$992,2,0),"")</f>
        <v>Výroba odlitků z uhlíkatých ocelí</v>
      </c>
      <c r="U860">
        <f>IF(ISNUMBER(SEARCH('1Př1'!$A$33,N860)),MAX($M$2:M859)+1,0)</f>
        <v>858</v>
      </c>
      <c r="V860" s="325" t="s">
        <v>3163</v>
      </c>
      <c r="W860" t="str">
        <f>IFERROR(VLOOKUP(ROWS($W$3:W860),$U$3:$V$992,2,0),"")</f>
        <v>Výroba odlitků z uhlíkatých ocelí</v>
      </c>
      <c r="X860">
        <f>IF(ISNUMBER(SEARCH('1Př1'!$A$34,N860)),MAX($M$2:M859)+1,0)</f>
        <v>858</v>
      </c>
      <c r="Y860" s="325" t="s">
        <v>3163</v>
      </c>
      <c r="Z860" t="str">
        <f>IFERROR(VLOOKUP(ROWS($Z$3:Z860),$X$3:$Y$992,2,0),"")</f>
        <v>Výroba odlitků z uhlíkatých ocelí</v>
      </c>
    </row>
    <row r="861" spans="13:26">
      <c r="M861" s="324">
        <f>IF(ISNUMBER(SEARCH(ZAKL_DATA!$B$29,N861)),MAX($M$2:M860)+1,0)</f>
        <v>859</v>
      </c>
      <c r="N861" s="325" t="s">
        <v>3165</v>
      </c>
      <c r="O861" s="340" t="s">
        <v>3166</v>
      </c>
      <c r="Q861" s="327" t="str">
        <f>IFERROR(VLOOKUP(ROWS($Q$3:Q861),$M$3:$N$992,2,0),"")</f>
        <v>Výroba odlitků z legovaných ocelí</v>
      </c>
      <c r="R861">
        <f>IF(ISNUMBER(SEARCH('1Př1'!$A$32,N861)),MAX($M$2:M860)+1,0)</f>
        <v>859</v>
      </c>
      <c r="S861" s="325" t="s">
        <v>3165</v>
      </c>
      <c r="T861" t="str">
        <f>IFERROR(VLOOKUP(ROWS($T$3:T861),$R$3:$S$992,2,0),"")</f>
        <v>Výroba odlitků z legovaných ocelí</v>
      </c>
      <c r="U861">
        <f>IF(ISNUMBER(SEARCH('1Př1'!$A$33,N861)),MAX($M$2:M860)+1,0)</f>
        <v>859</v>
      </c>
      <c r="V861" s="325" t="s">
        <v>3165</v>
      </c>
      <c r="W861" t="str">
        <f>IFERROR(VLOOKUP(ROWS($W$3:W861),$U$3:$V$992,2,0),"")</f>
        <v>Výroba odlitků z legovaných ocelí</v>
      </c>
      <c r="X861">
        <f>IF(ISNUMBER(SEARCH('1Př1'!$A$34,N861)),MAX($M$2:M860)+1,0)</f>
        <v>859</v>
      </c>
      <c r="Y861" s="325" t="s">
        <v>3165</v>
      </c>
      <c r="Z861" t="str">
        <f>IFERROR(VLOOKUP(ROWS($Z$3:Z861),$X$3:$Y$992,2,0),"")</f>
        <v>Výroba odlitků z legovaných ocelí</v>
      </c>
    </row>
    <row r="862" spans="13:26">
      <c r="M862" s="324">
        <f>IF(ISNUMBER(SEARCH(ZAKL_DATA!$B$29,N862)),MAX($M$2:M861)+1,0)</f>
        <v>860</v>
      </c>
      <c r="N862" s="325" t="s">
        <v>3167</v>
      </c>
      <c r="O862" s="340" t="s">
        <v>3168</v>
      </c>
      <c r="Q862" s="327" t="str">
        <f>IFERROR(VLOOKUP(ROWS($Q$3:Q862),$M$3:$N$992,2,0),"")</f>
        <v>Opravy a údržba kolejových vozidel</v>
      </c>
      <c r="R862">
        <f>IF(ISNUMBER(SEARCH('1Př1'!$A$32,N862)),MAX($M$2:M861)+1,0)</f>
        <v>860</v>
      </c>
      <c r="S862" s="325" t="s">
        <v>3167</v>
      </c>
      <c r="T862" t="str">
        <f>IFERROR(VLOOKUP(ROWS($T$3:T862),$R$3:$S$992,2,0),"")</f>
        <v>Opravy a údržba kolejových vozidel</v>
      </c>
      <c r="U862">
        <f>IF(ISNUMBER(SEARCH('1Př1'!$A$33,N862)),MAX($M$2:M861)+1,0)</f>
        <v>860</v>
      </c>
      <c r="V862" s="325" t="s">
        <v>3167</v>
      </c>
      <c r="W862" t="str">
        <f>IFERROR(VLOOKUP(ROWS($W$3:W862),$U$3:$V$992,2,0),"")</f>
        <v>Opravy a údržba kolejových vozidel</v>
      </c>
      <c r="X862">
        <f>IF(ISNUMBER(SEARCH('1Př1'!$A$34,N862)),MAX($M$2:M861)+1,0)</f>
        <v>860</v>
      </c>
      <c r="Y862" s="325" t="s">
        <v>3167</v>
      </c>
      <c r="Z862" t="str">
        <f>IFERROR(VLOOKUP(ROWS($Z$3:Z862),$X$3:$Y$992,2,0),"")</f>
        <v>Opravy a údržba kolejových vozidel</v>
      </c>
    </row>
    <row r="863" spans="13:26">
      <c r="M863" s="324">
        <f>IF(ISNUMBER(SEARCH(ZAKL_DATA!$B$29,N863)),MAX($M$2:M862)+1,0)</f>
        <v>861</v>
      </c>
      <c r="N863" s="325" t="s">
        <v>3169</v>
      </c>
      <c r="O863" s="340" t="s">
        <v>3170</v>
      </c>
      <c r="Q863" s="327" t="str">
        <f>IFERROR(VLOOKUP(ROWS($Q$3:Q863),$M$3:$N$992,2,0),"")</f>
        <v>Opravy a údržba ostat.dopr.prostředků a zařízení j.n.kromě kolej.vozidel</v>
      </c>
      <c r="R863">
        <f>IF(ISNUMBER(SEARCH('1Př1'!$A$32,N863)),MAX($M$2:M862)+1,0)</f>
        <v>861</v>
      </c>
      <c r="S863" s="325" t="s">
        <v>3169</v>
      </c>
      <c r="T863" t="str">
        <f>IFERROR(VLOOKUP(ROWS($T$3:T863),$R$3:$S$992,2,0),"")</f>
        <v>Opravy a údržba ostat.dopr.prostředků a zařízení j.n.kromě kolej.vozidel</v>
      </c>
      <c r="U863">
        <f>IF(ISNUMBER(SEARCH('1Př1'!$A$33,N863)),MAX($M$2:M862)+1,0)</f>
        <v>861</v>
      </c>
      <c r="V863" s="325" t="s">
        <v>3169</v>
      </c>
      <c r="W863" t="str">
        <f>IFERROR(VLOOKUP(ROWS($W$3:W863),$U$3:$V$992,2,0),"")</f>
        <v>Opravy a údržba ostat.dopr.prostředků a zařízení j.n.kromě kolej.vozidel</v>
      </c>
      <c r="X863">
        <f>IF(ISNUMBER(SEARCH('1Př1'!$A$34,N863)),MAX($M$2:M862)+1,0)</f>
        <v>861</v>
      </c>
      <c r="Y863" s="325" t="s">
        <v>3169</v>
      </c>
      <c r="Z863" t="str">
        <f>IFERROR(VLOOKUP(ROWS($Z$3:Z863),$X$3:$Y$992,2,0),"")</f>
        <v>Opravy a údržba ostat.dopr.prostředků a zařízení j.n.kromě kolej.vozidel</v>
      </c>
    </row>
    <row r="864" spans="13:26">
      <c r="M864" s="324">
        <f>IF(ISNUMBER(SEARCH(ZAKL_DATA!$B$29,N864)),MAX($M$2:M863)+1,0)</f>
        <v>862</v>
      </c>
      <c r="N864" s="325" t="s">
        <v>3171</v>
      </c>
      <c r="O864" s="340" t="s">
        <v>1902</v>
      </c>
      <c r="Q864" s="327" t="str">
        <f>IFERROR(VLOOKUP(ROWS($Q$3:Q864),$M$3:$N$992,2,0),"")</f>
        <v>Výroba a rozvod tepla a klimatizovaného vzduchu,výroba ledu</v>
      </c>
      <c r="R864">
        <f>IF(ISNUMBER(SEARCH('1Př1'!$A$32,N864)),MAX($M$2:M863)+1,0)</f>
        <v>862</v>
      </c>
      <c r="S864" s="325" t="s">
        <v>3171</v>
      </c>
      <c r="T864" t="str">
        <f>IFERROR(VLOOKUP(ROWS($T$3:T864),$R$3:$S$992,2,0),"")</f>
        <v>Výroba a rozvod tepla a klimatizovaného vzduchu,výroba ledu</v>
      </c>
      <c r="U864">
        <f>IF(ISNUMBER(SEARCH('1Př1'!$A$33,N864)),MAX($M$2:M863)+1,0)</f>
        <v>862</v>
      </c>
      <c r="V864" s="325" t="s">
        <v>3171</v>
      </c>
      <c r="W864" t="str">
        <f>IFERROR(VLOOKUP(ROWS($W$3:W864),$U$3:$V$992,2,0),"")</f>
        <v>Výroba a rozvod tepla a klimatizovaného vzduchu,výroba ledu</v>
      </c>
      <c r="X864">
        <f>IF(ISNUMBER(SEARCH('1Př1'!$A$34,N864)),MAX($M$2:M863)+1,0)</f>
        <v>862</v>
      </c>
      <c r="Y864" s="325" t="s">
        <v>3171</v>
      </c>
      <c r="Z864" t="str">
        <f>IFERROR(VLOOKUP(ROWS($Z$3:Z864),$X$3:$Y$992,2,0),"")</f>
        <v>Výroba a rozvod tepla a klimatizovaného vzduchu,výroba ledu</v>
      </c>
    </row>
    <row r="865" spans="13:26">
      <c r="M865" s="324">
        <f>IF(ISNUMBER(SEARCH(ZAKL_DATA!$B$29,N865)),MAX($M$2:M864)+1,0)</f>
        <v>863</v>
      </c>
      <c r="N865" s="325" t="s">
        <v>3172</v>
      </c>
      <c r="O865" s="340" t="s">
        <v>3173</v>
      </c>
      <c r="Q865" s="327" t="str">
        <f>IFERROR(VLOOKUP(ROWS($Q$3:Q865),$M$3:$N$992,2,0),"")</f>
        <v>Výroba tepla</v>
      </c>
      <c r="R865">
        <f>IF(ISNUMBER(SEARCH('1Př1'!$A$32,N865)),MAX($M$2:M864)+1,0)</f>
        <v>863</v>
      </c>
      <c r="S865" s="325" t="s">
        <v>3172</v>
      </c>
      <c r="T865" t="str">
        <f>IFERROR(VLOOKUP(ROWS($T$3:T865),$R$3:$S$992,2,0),"")</f>
        <v>Výroba tepla</v>
      </c>
      <c r="U865">
        <f>IF(ISNUMBER(SEARCH('1Př1'!$A$33,N865)),MAX($M$2:M864)+1,0)</f>
        <v>863</v>
      </c>
      <c r="V865" s="325" t="s">
        <v>3172</v>
      </c>
      <c r="W865" t="str">
        <f>IFERROR(VLOOKUP(ROWS($W$3:W865),$U$3:$V$992,2,0),"")</f>
        <v>Výroba tepla</v>
      </c>
      <c r="X865">
        <f>IF(ISNUMBER(SEARCH('1Př1'!$A$34,N865)),MAX($M$2:M864)+1,0)</f>
        <v>863</v>
      </c>
      <c r="Y865" s="325" t="s">
        <v>3172</v>
      </c>
      <c r="Z865" t="str">
        <f>IFERROR(VLOOKUP(ROWS($Z$3:Z865),$X$3:$Y$992,2,0),"")</f>
        <v>Výroba tepla</v>
      </c>
    </row>
    <row r="866" spans="13:26">
      <c r="M866" s="324">
        <f>IF(ISNUMBER(SEARCH(ZAKL_DATA!$B$29,N866)),MAX($M$2:M865)+1,0)</f>
        <v>864</v>
      </c>
      <c r="N866" s="325" t="s">
        <v>3174</v>
      </c>
      <c r="O866" s="340" t="s">
        <v>3175</v>
      </c>
      <c r="Q866" s="327" t="str">
        <f>IFERROR(VLOOKUP(ROWS($Q$3:Q866),$M$3:$N$992,2,0),"")</f>
        <v>Rozvod tepla</v>
      </c>
      <c r="R866">
        <f>IF(ISNUMBER(SEARCH('1Př1'!$A$32,N866)),MAX($M$2:M865)+1,0)</f>
        <v>864</v>
      </c>
      <c r="S866" s="325" t="s">
        <v>3174</v>
      </c>
      <c r="T866" t="str">
        <f>IFERROR(VLOOKUP(ROWS($T$3:T866),$R$3:$S$992,2,0),"")</f>
        <v>Rozvod tepla</v>
      </c>
      <c r="U866">
        <f>IF(ISNUMBER(SEARCH('1Př1'!$A$33,N866)),MAX($M$2:M865)+1,0)</f>
        <v>864</v>
      </c>
      <c r="V866" s="325" t="s">
        <v>3174</v>
      </c>
      <c r="W866" t="str">
        <f>IFERROR(VLOOKUP(ROWS($W$3:W866),$U$3:$V$992,2,0),"")</f>
        <v>Rozvod tepla</v>
      </c>
      <c r="X866">
        <f>IF(ISNUMBER(SEARCH('1Př1'!$A$34,N866)),MAX($M$2:M865)+1,0)</f>
        <v>864</v>
      </c>
      <c r="Y866" s="325" t="s">
        <v>3174</v>
      </c>
      <c r="Z866" t="str">
        <f>IFERROR(VLOOKUP(ROWS($Z$3:Z866),$X$3:$Y$992,2,0),"")</f>
        <v>Rozvod tepla</v>
      </c>
    </row>
    <row r="867" spans="13:26">
      <c r="M867" s="324">
        <f>IF(ISNUMBER(SEARCH(ZAKL_DATA!$B$29,N867)),MAX($M$2:M866)+1,0)</f>
        <v>865</v>
      </c>
      <c r="N867" s="325" t="s">
        <v>3176</v>
      </c>
      <c r="O867" s="340" t="s">
        <v>3177</v>
      </c>
      <c r="Q867" s="327" t="str">
        <f>IFERROR(VLOOKUP(ROWS($Q$3:Q867),$M$3:$N$992,2,0),"")</f>
        <v>Výroba klimatizovaného vzduchu</v>
      </c>
      <c r="R867">
        <f>IF(ISNUMBER(SEARCH('1Př1'!$A$32,N867)),MAX($M$2:M866)+1,0)</f>
        <v>865</v>
      </c>
      <c r="S867" s="325" t="s">
        <v>3176</v>
      </c>
      <c r="T867" t="str">
        <f>IFERROR(VLOOKUP(ROWS($T$3:T867),$R$3:$S$992,2,0),"")</f>
        <v>Výroba klimatizovaného vzduchu</v>
      </c>
      <c r="U867">
        <f>IF(ISNUMBER(SEARCH('1Př1'!$A$33,N867)),MAX($M$2:M866)+1,0)</f>
        <v>865</v>
      </c>
      <c r="V867" s="325" t="s">
        <v>3176</v>
      </c>
      <c r="W867" t="str">
        <f>IFERROR(VLOOKUP(ROWS($W$3:W867),$U$3:$V$992,2,0),"")</f>
        <v>Výroba klimatizovaného vzduchu</v>
      </c>
      <c r="X867">
        <f>IF(ISNUMBER(SEARCH('1Př1'!$A$34,N867)),MAX($M$2:M866)+1,0)</f>
        <v>865</v>
      </c>
      <c r="Y867" s="325" t="s">
        <v>3176</v>
      </c>
      <c r="Z867" t="str">
        <f>IFERROR(VLOOKUP(ROWS($Z$3:Z867),$X$3:$Y$992,2,0),"")</f>
        <v>Výroba klimatizovaného vzduchu</v>
      </c>
    </row>
    <row r="868" spans="13:26">
      <c r="M868" s="324">
        <f>IF(ISNUMBER(SEARCH(ZAKL_DATA!$B$29,N868)),MAX($M$2:M867)+1,0)</f>
        <v>866</v>
      </c>
      <c r="N868" s="325" t="s">
        <v>3178</v>
      </c>
      <c r="O868" s="340" t="s">
        <v>3179</v>
      </c>
      <c r="Q868" s="327" t="str">
        <f>IFERROR(VLOOKUP(ROWS($Q$3:Q868),$M$3:$N$992,2,0),"")</f>
        <v>Rozvod klimatizovaného vzduchu</v>
      </c>
      <c r="R868">
        <f>IF(ISNUMBER(SEARCH('1Př1'!$A$32,N868)),MAX($M$2:M867)+1,0)</f>
        <v>866</v>
      </c>
      <c r="S868" s="325" t="s">
        <v>3178</v>
      </c>
      <c r="T868" t="str">
        <f>IFERROR(VLOOKUP(ROWS($T$3:T868),$R$3:$S$992,2,0),"")</f>
        <v>Rozvod klimatizovaného vzduchu</v>
      </c>
      <c r="U868">
        <f>IF(ISNUMBER(SEARCH('1Př1'!$A$33,N868)),MAX($M$2:M867)+1,0)</f>
        <v>866</v>
      </c>
      <c r="V868" s="325" t="s">
        <v>3178</v>
      </c>
      <c r="W868" t="str">
        <f>IFERROR(VLOOKUP(ROWS($W$3:W868),$U$3:$V$992,2,0),"")</f>
        <v>Rozvod klimatizovaného vzduchu</v>
      </c>
      <c r="X868">
        <f>IF(ISNUMBER(SEARCH('1Př1'!$A$34,N868)),MAX($M$2:M867)+1,0)</f>
        <v>866</v>
      </c>
      <c r="Y868" s="325" t="s">
        <v>3178</v>
      </c>
      <c r="Z868" t="str">
        <f>IFERROR(VLOOKUP(ROWS($Z$3:Z868),$X$3:$Y$992,2,0),"")</f>
        <v>Rozvod klimatizovaného vzduchu</v>
      </c>
    </row>
    <row r="869" spans="13:26">
      <c r="M869" s="324">
        <f>IF(ISNUMBER(SEARCH(ZAKL_DATA!$B$29,N869)),MAX($M$2:M868)+1,0)</f>
        <v>867</v>
      </c>
      <c r="N869" s="325" t="s">
        <v>3180</v>
      </c>
      <c r="O869" s="340" t="s">
        <v>3181</v>
      </c>
      <c r="Q869" s="327" t="str">
        <f>IFERROR(VLOOKUP(ROWS($Q$3:Q869),$M$3:$N$992,2,0),"")</f>
        <v>Výroba chladicí vody</v>
      </c>
      <c r="R869">
        <f>IF(ISNUMBER(SEARCH('1Př1'!$A$32,N869)),MAX($M$2:M868)+1,0)</f>
        <v>867</v>
      </c>
      <c r="S869" s="325" t="s">
        <v>3180</v>
      </c>
      <c r="T869" t="str">
        <f>IFERROR(VLOOKUP(ROWS($T$3:T869),$R$3:$S$992,2,0),"")</f>
        <v>Výroba chladicí vody</v>
      </c>
      <c r="U869">
        <f>IF(ISNUMBER(SEARCH('1Př1'!$A$33,N869)),MAX($M$2:M868)+1,0)</f>
        <v>867</v>
      </c>
      <c r="V869" s="325" t="s">
        <v>3180</v>
      </c>
      <c r="W869" t="str">
        <f>IFERROR(VLOOKUP(ROWS($W$3:W869),$U$3:$V$992,2,0),"")</f>
        <v>Výroba chladicí vody</v>
      </c>
      <c r="X869">
        <f>IF(ISNUMBER(SEARCH('1Př1'!$A$34,N869)),MAX($M$2:M868)+1,0)</f>
        <v>867</v>
      </c>
      <c r="Y869" s="325" t="s">
        <v>3180</v>
      </c>
      <c r="Z869" t="str">
        <f>IFERROR(VLOOKUP(ROWS($Z$3:Z869),$X$3:$Y$992,2,0),"")</f>
        <v>Výroba chladicí vody</v>
      </c>
    </row>
    <row r="870" spans="13:26">
      <c r="M870" s="324">
        <f>IF(ISNUMBER(SEARCH(ZAKL_DATA!$B$29,N870)),MAX($M$2:M869)+1,0)</f>
        <v>868</v>
      </c>
      <c r="N870" s="325" t="s">
        <v>3182</v>
      </c>
      <c r="O870" s="340" t="s">
        <v>3183</v>
      </c>
      <c r="Q870" s="327" t="str">
        <f>IFERROR(VLOOKUP(ROWS($Q$3:Q870),$M$3:$N$992,2,0),"")</f>
        <v>Rozvod chladicí vody</v>
      </c>
      <c r="R870">
        <f>IF(ISNUMBER(SEARCH('1Př1'!$A$32,N870)),MAX($M$2:M869)+1,0)</f>
        <v>868</v>
      </c>
      <c r="S870" s="325" t="s">
        <v>3182</v>
      </c>
      <c r="T870" t="str">
        <f>IFERROR(VLOOKUP(ROWS($T$3:T870),$R$3:$S$992,2,0),"")</f>
        <v>Rozvod chladicí vody</v>
      </c>
      <c r="U870">
        <f>IF(ISNUMBER(SEARCH('1Př1'!$A$33,N870)),MAX($M$2:M869)+1,0)</f>
        <v>868</v>
      </c>
      <c r="V870" s="325" t="s">
        <v>3182</v>
      </c>
      <c r="W870" t="str">
        <f>IFERROR(VLOOKUP(ROWS($W$3:W870),$U$3:$V$992,2,0),"")</f>
        <v>Rozvod chladicí vody</v>
      </c>
      <c r="X870">
        <f>IF(ISNUMBER(SEARCH('1Př1'!$A$34,N870)),MAX($M$2:M869)+1,0)</f>
        <v>868</v>
      </c>
      <c r="Y870" s="325" t="s">
        <v>3182</v>
      </c>
      <c r="Z870" t="str">
        <f>IFERROR(VLOOKUP(ROWS($Z$3:Z870),$X$3:$Y$992,2,0),"")</f>
        <v>Rozvod chladicí vody</v>
      </c>
    </row>
    <row r="871" spans="13:26">
      <c r="M871" s="324">
        <f>IF(ISNUMBER(SEARCH(ZAKL_DATA!$B$29,N871)),MAX($M$2:M870)+1,0)</f>
        <v>869</v>
      </c>
      <c r="N871" s="325" t="s">
        <v>3184</v>
      </c>
      <c r="O871" s="340" t="s">
        <v>3185</v>
      </c>
      <c r="Q871" s="327" t="str">
        <f>IFERROR(VLOOKUP(ROWS($Q$3:Q871),$M$3:$N$992,2,0),"")</f>
        <v>Výroba ledu</v>
      </c>
      <c r="R871">
        <f>IF(ISNUMBER(SEARCH('1Př1'!$A$32,N871)),MAX($M$2:M870)+1,0)</f>
        <v>869</v>
      </c>
      <c r="S871" s="325" t="s">
        <v>3184</v>
      </c>
      <c r="T871" t="str">
        <f>IFERROR(VLOOKUP(ROWS($T$3:T871),$R$3:$S$992,2,0),"")</f>
        <v>Výroba ledu</v>
      </c>
      <c r="U871">
        <f>IF(ISNUMBER(SEARCH('1Př1'!$A$33,N871)),MAX($M$2:M870)+1,0)</f>
        <v>869</v>
      </c>
      <c r="V871" s="325" t="s">
        <v>3184</v>
      </c>
      <c r="W871" t="str">
        <f>IFERROR(VLOOKUP(ROWS($W$3:W871),$U$3:$V$992,2,0),"")</f>
        <v>Výroba ledu</v>
      </c>
      <c r="X871">
        <f>IF(ISNUMBER(SEARCH('1Př1'!$A$34,N871)),MAX($M$2:M870)+1,0)</f>
        <v>869</v>
      </c>
      <c r="Y871" s="325" t="s">
        <v>3184</v>
      </c>
      <c r="Z871" t="str">
        <f>IFERROR(VLOOKUP(ROWS($Z$3:Z871),$X$3:$Y$992,2,0),"")</f>
        <v>Výroba ledu</v>
      </c>
    </row>
    <row r="872" spans="13:26">
      <c r="M872" s="324">
        <f>IF(ISNUMBER(SEARCH(ZAKL_DATA!$B$29,N872)),MAX($M$2:M871)+1,0)</f>
        <v>870</v>
      </c>
      <c r="N872" s="325" t="s">
        <v>3186</v>
      </c>
      <c r="O872" s="340" t="s">
        <v>3187</v>
      </c>
      <c r="Q872" s="327" t="str">
        <f>IFERROR(VLOOKUP(ROWS($Q$3:Q872),$M$3:$N$992,2,0),"")</f>
        <v>Výstavba nebytových budov</v>
      </c>
      <c r="R872">
        <f>IF(ISNUMBER(SEARCH('1Př1'!$A$32,N872)),MAX($M$2:M871)+1,0)</f>
        <v>870</v>
      </c>
      <c r="S872" s="325" t="s">
        <v>3186</v>
      </c>
      <c r="T872" t="str">
        <f>IFERROR(VLOOKUP(ROWS($T$3:T872),$R$3:$S$992,2,0),"")</f>
        <v>Výstavba nebytových budov</v>
      </c>
      <c r="U872">
        <f>IF(ISNUMBER(SEARCH('1Př1'!$A$33,N872)),MAX($M$2:M871)+1,0)</f>
        <v>870</v>
      </c>
      <c r="V872" s="325" t="s">
        <v>3186</v>
      </c>
      <c r="W872" t="str">
        <f>IFERROR(VLOOKUP(ROWS($W$3:W872),$U$3:$V$992,2,0),"")</f>
        <v>Výstavba nebytových budov</v>
      </c>
      <c r="X872">
        <f>IF(ISNUMBER(SEARCH('1Př1'!$A$34,N872)),MAX($M$2:M871)+1,0)</f>
        <v>870</v>
      </c>
      <c r="Y872" s="325" t="s">
        <v>3186</v>
      </c>
      <c r="Z872" t="str">
        <f>IFERROR(VLOOKUP(ROWS($Z$3:Z872),$X$3:$Y$992,2,0),"")</f>
        <v>Výstavba nebytových budov</v>
      </c>
    </row>
    <row r="873" spans="13:26">
      <c r="M873" s="324">
        <f>IF(ISNUMBER(SEARCH(ZAKL_DATA!$B$29,N873)),MAX($M$2:M872)+1,0)</f>
        <v>871</v>
      </c>
      <c r="N873" s="325" t="s">
        <v>3188</v>
      </c>
      <c r="O873" s="340" t="s">
        <v>3189</v>
      </c>
      <c r="Q873" s="327" t="str">
        <f>IFERROR(VLOOKUP(ROWS($Q$3:Q873),$M$3:$N$992,2,0),"")</f>
        <v>Výstavba inženýrských sítí pro kapaliny</v>
      </c>
      <c r="R873">
        <f>IF(ISNUMBER(SEARCH('1Př1'!$A$32,N873)),MAX($M$2:M872)+1,0)</f>
        <v>871</v>
      </c>
      <c r="S873" s="325" t="s">
        <v>3188</v>
      </c>
      <c r="T873" t="str">
        <f>IFERROR(VLOOKUP(ROWS($T$3:T873),$R$3:$S$992,2,0),"")</f>
        <v>Výstavba inženýrských sítí pro kapaliny</v>
      </c>
      <c r="U873">
        <f>IF(ISNUMBER(SEARCH('1Př1'!$A$33,N873)),MAX($M$2:M872)+1,0)</f>
        <v>871</v>
      </c>
      <c r="V873" s="325" t="s">
        <v>3188</v>
      </c>
      <c r="W873" t="str">
        <f>IFERROR(VLOOKUP(ROWS($W$3:W873),$U$3:$V$992,2,0),"")</f>
        <v>Výstavba inženýrských sítí pro kapaliny</v>
      </c>
      <c r="X873">
        <f>IF(ISNUMBER(SEARCH('1Př1'!$A$34,N873)),MAX($M$2:M872)+1,0)</f>
        <v>871</v>
      </c>
      <c r="Y873" s="325" t="s">
        <v>3188</v>
      </c>
      <c r="Z873" t="str">
        <f>IFERROR(VLOOKUP(ROWS($Z$3:Z873),$X$3:$Y$992,2,0),"")</f>
        <v>Výstavba inženýrských sítí pro kapaliny</v>
      </c>
    </row>
    <row r="874" spans="13:26">
      <c r="M874" s="324">
        <f>IF(ISNUMBER(SEARCH(ZAKL_DATA!$B$29,N874)),MAX($M$2:M873)+1,0)</f>
        <v>872</v>
      </c>
      <c r="N874" s="325" t="s">
        <v>3190</v>
      </c>
      <c r="O874" s="340" t="s">
        <v>3191</v>
      </c>
      <c r="Q874" s="327" t="str">
        <f>IFERROR(VLOOKUP(ROWS($Q$3:Q874),$M$3:$N$992,2,0),"")</f>
        <v>Výstavba inženýrských sítí pro plyny</v>
      </c>
      <c r="R874">
        <f>IF(ISNUMBER(SEARCH('1Př1'!$A$32,N874)),MAX($M$2:M873)+1,0)</f>
        <v>872</v>
      </c>
      <c r="S874" s="325" t="s">
        <v>3190</v>
      </c>
      <c r="T874" t="str">
        <f>IFERROR(VLOOKUP(ROWS($T$3:T874),$R$3:$S$992,2,0),"")</f>
        <v>Výstavba inženýrských sítí pro plyny</v>
      </c>
      <c r="U874">
        <f>IF(ISNUMBER(SEARCH('1Př1'!$A$33,N874)),MAX($M$2:M873)+1,0)</f>
        <v>872</v>
      </c>
      <c r="V874" s="325" t="s">
        <v>3190</v>
      </c>
      <c r="W874" t="str">
        <f>IFERROR(VLOOKUP(ROWS($W$3:W874),$U$3:$V$992,2,0),"")</f>
        <v>Výstavba inženýrských sítí pro plyny</v>
      </c>
      <c r="X874">
        <f>IF(ISNUMBER(SEARCH('1Př1'!$A$34,N874)),MAX($M$2:M873)+1,0)</f>
        <v>872</v>
      </c>
      <c r="Y874" s="325" t="s">
        <v>3190</v>
      </c>
      <c r="Z874" t="str">
        <f>IFERROR(VLOOKUP(ROWS($Z$3:Z874),$X$3:$Y$992,2,0),"")</f>
        <v>Výstavba inženýrských sítí pro plyny</v>
      </c>
    </row>
    <row r="875" spans="13:26">
      <c r="M875" s="324">
        <f>IF(ISNUMBER(SEARCH(ZAKL_DATA!$B$29,N875)),MAX($M$2:M874)+1,0)</f>
        <v>873</v>
      </c>
      <c r="N875" s="325" t="s">
        <v>3192</v>
      </c>
      <c r="O875" s="340" t="s">
        <v>3193</v>
      </c>
      <c r="Q875" s="327" t="str">
        <f>IFERROR(VLOOKUP(ROWS($Q$3:Q875),$M$3:$N$992,2,0),"")</f>
        <v>Sklenářské práce</v>
      </c>
      <c r="R875">
        <f>IF(ISNUMBER(SEARCH('1Př1'!$A$32,N875)),MAX($M$2:M874)+1,0)</f>
        <v>873</v>
      </c>
      <c r="S875" s="325" t="s">
        <v>3192</v>
      </c>
      <c r="T875" t="str">
        <f>IFERROR(VLOOKUP(ROWS($T$3:T875),$R$3:$S$992,2,0),"")</f>
        <v>Sklenářské práce</v>
      </c>
      <c r="U875">
        <f>IF(ISNUMBER(SEARCH('1Př1'!$A$33,N875)),MAX($M$2:M874)+1,0)</f>
        <v>873</v>
      </c>
      <c r="V875" s="325" t="s">
        <v>3192</v>
      </c>
      <c r="W875" t="str">
        <f>IFERROR(VLOOKUP(ROWS($W$3:W875),$U$3:$V$992,2,0),"")</f>
        <v>Sklenářské práce</v>
      </c>
      <c r="X875">
        <f>IF(ISNUMBER(SEARCH('1Př1'!$A$34,N875)),MAX($M$2:M874)+1,0)</f>
        <v>873</v>
      </c>
      <c r="Y875" s="325" t="s">
        <v>3192</v>
      </c>
      <c r="Z875" t="str">
        <f>IFERROR(VLOOKUP(ROWS($Z$3:Z875),$X$3:$Y$992,2,0),"")</f>
        <v>Sklenářské práce</v>
      </c>
    </row>
    <row r="876" spans="13:26">
      <c r="M876" s="324">
        <f>IF(ISNUMBER(SEARCH(ZAKL_DATA!$B$29,N876)),MAX($M$2:M875)+1,0)</f>
        <v>874</v>
      </c>
      <c r="N876" s="325" t="s">
        <v>3194</v>
      </c>
      <c r="O876" s="340" t="s">
        <v>3195</v>
      </c>
      <c r="Q876" s="327" t="str">
        <f>IFERROR(VLOOKUP(ROWS($Q$3:Q876),$M$3:$N$992,2,0),"")</f>
        <v>Malířské a natěračské práce</v>
      </c>
      <c r="R876">
        <f>IF(ISNUMBER(SEARCH('1Př1'!$A$32,N876)),MAX($M$2:M875)+1,0)</f>
        <v>874</v>
      </c>
      <c r="S876" s="325" t="s">
        <v>3194</v>
      </c>
      <c r="T876" t="str">
        <f>IFERROR(VLOOKUP(ROWS($T$3:T876),$R$3:$S$992,2,0),"")</f>
        <v>Malířské a natěračské práce</v>
      </c>
      <c r="U876">
        <f>IF(ISNUMBER(SEARCH('1Př1'!$A$33,N876)),MAX($M$2:M875)+1,0)</f>
        <v>874</v>
      </c>
      <c r="V876" s="325" t="s">
        <v>3194</v>
      </c>
      <c r="W876" t="str">
        <f>IFERROR(VLOOKUP(ROWS($W$3:W876),$U$3:$V$992,2,0),"")</f>
        <v>Malířské a natěračské práce</v>
      </c>
      <c r="X876">
        <f>IF(ISNUMBER(SEARCH('1Př1'!$A$34,N876)),MAX($M$2:M875)+1,0)</f>
        <v>874</v>
      </c>
      <c r="Y876" s="325" t="s">
        <v>3194</v>
      </c>
      <c r="Z876" t="str">
        <f>IFERROR(VLOOKUP(ROWS($Z$3:Z876),$X$3:$Y$992,2,0),"")</f>
        <v>Malířské a natěračské práce</v>
      </c>
    </row>
    <row r="877" spans="13:26">
      <c r="M877" s="324">
        <f>IF(ISNUMBER(SEARCH(ZAKL_DATA!$B$29,N877)),MAX($M$2:M876)+1,0)</f>
        <v>875</v>
      </c>
      <c r="N877" s="325" t="s">
        <v>3196</v>
      </c>
      <c r="O877" s="340" t="s">
        <v>3197</v>
      </c>
      <c r="Q877" s="327" t="str">
        <f>IFERROR(VLOOKUP(ROWS($Q$3:Q877),$M$3:$N$992,2,0),"")</f>
        <v>Montáž a demontáž lešení a bednění</v>
      </c>
      <c r="R877">
        <f>IF(ISNUMBER(SEARCH('1Př1'!$A$32,N877)),MAX($M$2:M876)+1,0)</f>
        <v>875</v>
      </c>
      <c r="S877" s="325" t="s">
        <v>3196</v>
      </c>
      <c r="T877" t="str">
        <f>IFERROR(VLOOKUP(ROWS($T$3:T877),$R$3:$S$992,2,0),"")</f>
        <v>Montáž a demontáž lešení a bednění</v>
      </c>
      <c r="U877">
        <f>IF(ISNUMBER(SEARCH('1Př1'!$A$33,N877)),MAX($M$2:M876)+1,0)</f>
        <v>875</v>
      </c>
      <c r="V877" s="325" t="s">
        <v>3196</v>
      </c>
      <c r="W877" t="str">
        <f>IFERROR(VLOOKUP(ROWS($W$3:W877),$U$3:$V$992,2,0),"")</f>
        <v>Montáž a demontáž lešení a bednění</v>
      </c>
      <c r="X877">
        <f>IF(ISNUMBER(SEARCH('1Př1'!$A$34,N877)),MAX($M$2:M876)+1,0)</f>
        <v>875</v>
      </c>
      <c r="Y877" s="325" t="s">
        <v>3196</v>
      </c>
      <c r="Z877" t="str">
        <f>IFERROR(VLOOKUP(ROWS($Z$3:Z877),$X$3:$Y$992,2,0),"")</f>
        <v>Montáž a demontáž lešení a bednění</v>
      </c>
    </row>
    <row r="878" spans="13:26">
      <c r="M878" s="324">
        <f>IF(ISNUMBER(SEARCH(ZAKL_DATA!$B$29,N878)),MAX($M$2:M877)+1,0)</f>
        <v>876</v>
      </c>
      <c r="N878" s="325" t="s">
        <v>3198</v>
      </c>
      <c r="O878" s="340" t="s">
        <v>3199</v>
      </c>
      <c r="Q878" s="327" t="str">
        <f>IFERROR(VLOOKUP(ROWS($Q$3:Q878),$M$3:$N$992,2,0),"")</f>
        <v>Jiné specializované stavební činnosti j. n.</v>
      </c>
      <c r="R878">
        <f>IF(ISNUMBER(SEARCH('1Př1'!$A$32,N878)),MAX($M$2:M877)+1,0)</f>
        <v>876</v>
      </c>
      <c r="S878" s="325" t="s">
        <v>3198</v>
      </c>
      <c r="T878" t="str">
        <f>IFERROR(VLOOKUP(ROWS($T$3:T878),$R$3:$S$992,2,0),"")</f>
        <v>Jiné specializované stavební činnosti j. n.</v>
      </c>
      <c r="U878">
        <f>IF(ISNUMBER(SEARCH('1Př1'!$A$33,N878)),MAX($M$2:M877)+1,0)</f>
        <v>876</v>
      </c>
      <c r="V878" s="325" t="s">
        <v>3198</v>
      </c>
      <c r="W878" t="str">
        <f>IFERROR(VLOOKUP(ROWS($W$3:W878),$U$3:$V$992,2,0),"")</f>
        <v>Jiné specializované stavební činnosti j. n.</v>
      </c>
      <c r="X878">
        <f>IF(ISNUMBER(SEARCH('1Př1'!$A$34,N878)),MAX($M$2:M877)+1,0)</f>
        <v>876</v>
      </c>
      <c r="Y878" s="325" t="s">
        <v>3198</v>
      </c>
      <c r="Z878" t="str">
        <f>IFERROR(VLOOKUP(ROWS($Z$3:Z878),$X$3:$Y$992,2,0),"")</f>
        <v>Jiné specializované stavební činnosti j. n.</v>
      </c>
    </row>
    <row r="879" spans="13:26">
      <c r="M879" s="324">
        <f>IF(ISNUMBER(SEARCH(ZAKL_DATA!$B$29,N879)),MAX($M$2:M878)+1,0)</f>
        <v>877</v>
      </c>
      <c r="N879" s="325" t="s">
        <v>3200</v>
      </c>
      <c r="O879" s="340" t="s">
        <v>3201</v>
      </c>
      <c r="Q879" s="327" t="str">
        <f>IFERROR(VLOOKUP(ROWS($Q$3:Q879),$M$3:$N$992,2,0),"")</f>
        <v>Zprostředkování velkoobchodu a velkoobchod v zastoupení s papír.výrobky</v>
      </c>
      <c r="R879">
        <f>IF(ISNUMBER(SEARCH('1Př1'!$A$32,N879)),MAX($M$2:M878)+1,0)</f>
        <v>877</v>
      </c>
      <c r="S879" s="325" t="s">
        <v>3200</v>
      </c>
      <c r="T879" t="str">
        <f>IFERROR(VLOOKUP(ROWS($T$3:T879),$R$3:$S$992,2,0),"")</f>
        <v>Zprostředkování velkoobchodu a velkoobchod v zastoupení s papír.výrobky</v>
      </c>
      <c r="U879">
        <f>IF(ISNUMBER(SEARCH('1Př1'!$A$33,N879)),MAX($M$2:M878)+1,0)</f>
        <v>877</v>
      </c>
      <c r="V879" s="325" t="s">
        <v>3200</v>
      </c>
      <c r="W879" t="str">
        <f>IFERROR(VLOOKUP(ROWS($W$3:W879),$U$3:$V$992,2,0),"")</f>
        <v>Zprostředkování velkoobchodu a velkoobchod v zastoupení s papír.výrobky</v>
      </c>
      <c r="X879">
        <f>IF(ISNUMBER(SEARCH('1Př1'!$A$34,N879)),MAX($M$2:M878)+1,0)</f>
        <v>877</v>
      </c>
      <c r="Y879" s="325" t="s">
        <v>3200</v>
      </c>
      <c r="Z879" t="str">
        <f>IFERROR(VLOOKUP(ROWS($Z$3:Z879),$X$3:$Y$992,2,0),"")</f>
        <v>Zprostředkování velkoobchodu a velkoobchod v zastoupení s papír.výrobky</v>
      </c>
    </row>
    <row r="880" spans="13:26">
      <c r="M880" s="324">
        <f>IF(ISNUMBER(SEARCH(ZAKL_DATA!$B$29,N880)),MAX($M$2:M879)+1,0)</f>
        <v>878</v>
      </c>
      <c r="N880" s="325" t="s">
        <v>3202</v>
      </c>
      <c r="O880" s="340" t="s">
        <v>3203</v>
      </c>
      <c r="Q880" s="327" t="str">
        <f>IFERROR(VLOOKUP(ROWS($Q$3:Q880),$M$3:$N$992,2,0),"")</f>
        <v>Zprostř.specializ.velkoobchodu a velkoobchod v zast.s ost.výrobky j.n.</v>
      </c>
      <c r="R880">
        <f>IF(ISNUMBER(SEARCH('1Př1'!$A$32,N880)),MAX($M$2:M879)+1,0)</f>
        <v>878</v>
      </c>
      <c r="S880" s="325" t="s">
        <v>3202</v>
      </c>
      <c r="T880" t="str">
        <f>IFERROR(VLOOKUP(ROWS($T$3:T880),$R$3:$S$992,2,0),"")</f>
        <v>Zprostř.specializ.velkoobchodu a velkoobchod v zast.s ost.výrobky j.n.</v>
      </c>
      <c r="U880">
        <f>IF(ISNUMBER(SEARCH('1Př1'!$A$33,N880)),MAX($M$2:M879)+1,0)</f>
        <v>878</v>
      </c>
      <c r="V880" s="325" t="s">
        <v>3202</v>
      </c>
      <c r="W880" t="str">
        <f>IFERROR(VLOOKUP(ROWS($W$3:W880),$U$3:$V$992,2,0),"")</f>
        <v>Zprostř.specializ.velkoobchodu a velkoobchod v zast.s ost.výrobky j.n.</v>
      </c>
      <c r="X880">
        <f>IF(ISNUMBER(SEARCH('1Př1'!$A$34,N880)),MAX($M$2:M879)+1,0)</f>
        <v>878</v>
      </c>
      <c r="Y880" s="325" t="s">
        <v>3202</v>
      </c>
      <c r="Z880" t="str">
        <f>IFERROR(VLOOKUP(ROWS($Z$3:Z880),$X$3:$Y$992,2,0),"")</f>
        <v>Zprostř.specializ.velkoobchodu a velkoobchod v zast.s ost.výrobky j.n.</v>
      </c>
    </row>
    <row r="881" spans="13:26">
      <c r="M881" s="324">
        <f>IF(ISNUMBER(SEARCH(ZAKL_DATA!$B$29,N881)),MAX($M$2:M880)+1,0)</f>
        <v>879</v>
      </c>
      <c r="N881" s="325" t="s">
        <v>3204</v>
      </c>
      <c r="O881" s="340" t="s">
        <v>3205</v>
      </c>
      <c r="Q881" s="327" t="str">
        <f>IFERROR(VLOOKUP(ROWS($Q$3:Q881),$M$3:$N$992,2,0),"")</f>
        <v>Velkoobchod s oděvy</v>
      </c>
      <c r="R881">
        <f>IF(ISNUMBER(SEARCH('1Př1'!$A$32,N881)),MAX($M$2:M880)+1,0)</f>
        <v>879</v>
      </c>
      <c r="S881" s="325" t="s">
        <v>3204</v>
      </c>
      <c r="T881" t="str">
        <f>IFERROR(VLOOKUP(ROWS($T$3:T881),$R$3:$S$992,2,0),"")</f>
        <v>Velkoobchod s oděvy</v>
      </c>
      <c r="U881">
        <f>IF(ISNUMBER(SEARCH('1Př1'!$A$33,N881)),MAX($M$2:M880)+1,0)</f>
        <v>879</v>
      </c>
      <c r="V881" s="325" t="s">
        <v>3204</v>
      </c>
      <c r="W881" t="str">
        <f>IFERROR(VLOOKUP(ROWS($W$3:W881),$U$3:$V$992,2,0),"")</f>
        <v>Velkoobchod s oděvy</v>
      </c>
      <c r="X881">
        <f>IF(ISNUMBER(SEARCH('1Př1'!$A$34,N881)),MAX($M$2:M880)+1,0)</f>
        <v>879</v>
      </c>
      <c r="Y881" s="325" t="s">
        <v>3204</v>
      </c>
      <c r="Z881" t="str">
        <f>IFERROR(VLOOKUP(ROWS($Z$3:Z881),$X$3:$Y$992,2,0),"")</f>
        <v>Velkoobchod s oděvy</v>
      </c>
    </row>
    <row r="882" spans="13:26">
      <c r="M882" s="324">
        <f>IF(ISNUMBER(SEARCH(ZAKL_DATA!$B$29,N882)),MAX($M$2:M881)+1,0)</f>
        <v>880</v>
      </c>
      <c r="N882" s="325" t="s">
        <v>3206</v>
      </c>
      <c r="O882" s="340" t="s">
        <v>3207</v>
      </c>
      <c r="Q882" s="327" t="str">
        <f>IFERROR(VLOOKUP(ROWS($Q$3:Q882),$M$3:$N$992,2,0),"")</f>
        <v>Velkoobchod s obuví</v>
      </c>
      <c r="R882">
        <f>IF(ISNUMBER(SEARCH('1Př1'!$A$32,N882)),MAX($M$2:M881)+1,0)</f>
        <v>880</v>
      </c>
      <c r="S882" s="325" t="s">
        <v>3206</v>
      </c>
      <c r="T882" t="str">
        <f>IFERROR(VLOOKUP(ROWS($T$3:T882),$R$3:$S$992,2,0),"")</f>
        <v>Velkoobchod s obuví</v>
      </c>
      <c r="U882">
        <f>IF(ISNUMBER(SEARCH('1Př1'!$A$33,N882)),MAX($M$2:M881)+1,0)</f>
        <v>880</v>
      </c>
      <c r="V882" s="325" t="s">
        <v>3206</v>
      </c>
      <c r="W882" t="str">
        <f>IFERROR(VLOOKUP(ROWS($W$3:W882),$U$3:$V$992,2,0),"")</f>
        <v>Velkoobchod s obuví</v>
      </c>
      <c r="X882">
        <f>IF(ISNUMBER(SEARCH('1Př1'!$A$34,N882)),MAX($M$2:M881)+1,0)</f>
        <v>880</v>
      </c>
      <c r="Y882" s="325" t="s">
        <v>3206</v>
      </c>
      <c r="Z882" t="str">
        <f>IFERROR(VLOOKUP(ROWS($Z$3:Z882),$X$3:$Y$992,2,0),"")</f>
        <v>Velkoobchod s obuví</v>
      </c>
    </row>
    <row r="883" spans="13:26">
      <c r="M883" s="324">
        <f>IF(ISNUMBER(SEARCH(ZAKL_DATA!$B$29,N883)),MAX($M$2:M882)+1,0)</f>
        <v>881</v>
      </c>
      <c r="N883" s="325" t="s">
        <v>3208</v>
      </c>
      <c r="O883" s="340" t="s">
        <v>3209</v>
      </c>
      <c r="Q883" s="327" t="str">
        <f>IFERROR(VLOOKUP(ROWS($Q$3:Q883),$M$3:$N$992,2,0),"")</f>
        <v>Velkoobchod s porcelánovými, keramickými a skleněnými výrobky</v>
      </c>
      <c r="R883">
        <f>IF(ISNUMBER(SEARCH('1Př1'!$A$32,N883)),MAX($M$2:M882)+1,0)</f>
        <v>881</v>
      </c>
      <c r="S883" s="325" t="s">
        <v>3208</v>
      </c>
      <c r="T883" t="str">
        <f>IFERROR(VLOOKUP(ROWS($T$3:T883),$R$3:$S$992,2,0),"")</f>
        <v>Velkoobchod s porcelánovými, keramickými a skleněnými výrobky</v>
      </c>
      <c r="U883">
        <f>IF(ISNUMBER(SEARCH('1Př1'!$A$33,N883)),MAX($M$2:M882)+1,0)</f>
        <v>881</v>
      </c>
      <c r="V883" s="325" t="s">
        <v>3208</v>
      </c>
      <c r="W883" t="str">
        <f>IFERROR(VLOOKUP(ROWS($W$3:W883),$U$3:$V$992,2,0),"")</f>
        <v>Velkoobchod s porcelánovými, keramickými a skleněnými výrobky</v>
      </c>
      <c r="X883">
        <f>IF(ISNUMBER(SEARCH('1Př1'!$A$34,N883)),MAX($M$2:M882)+1,0)</f>
        <v>881</v>
      </c>
      <c r="Y883" s="325" t="s">
        <v>3208</v>
      </c>
      <c r="Z883" t="str">
        <f>IFERROR(VLOOKUP(ROWS($Z$3:Z883),$X$3:$Y$992,2,0),"")</f>
        <v>Velkoobchod s porcelánovými, keramickými a skleněnými výrobky</v>
      </c>
    </row>
    <row r="884" spans="13:26">
      <c r="M884" s="324">
        <f>IF(ISNUMBER(SEARCH(ZAKL_DATA!$B$29,N884)),MAX($M$2:M883)+1,0)</f>
        <v>882</v>
      </c>
      <c r="N884" s="325" t="s">
        <v>3210</v>
      </c>
      <c r="O884" s="340" t="s">
        <v>3211</v>
      </c>
      <c r="Q884" s="327" t="str">
        <f>IFERROR(VLOOKUP(ROWS($Q$3:Q884),$M$3:$N$992,2,0),"")</f>
        <v>Velkoobchod s pracími a čisticími prostředky</v>
      </c>
      <c r="R884">
        <f>IF(ISNUMBER(SEARCH('1Př1'!$A$32,N884)),MAX($M$2:M883)+1,0)</f>
        <v>882</v>
      </c>
      <c r="S884" s="325" t="s">
        <v>3210</v>
      </c>
      <c r="T884" t="str">
        <f>IFERROR(VLOOKUP(ROWS($T$3:T884),$R$3:$S$992,2,0),"")</f>
        <v>Velkoobchod s pracími a čisticími prostředky</v>
      </c>
      <c r="U884">
        <f>IF(ISNUMBER(SEARCH('1Př1'!$A$33,N884)),MAX($M$2:M883)+1,0)</f>
        <v>882</v>
      </c>
      <c r="V884" s="325" t="s">
        <v>3210</v>
      </c>
      <c r="W884" t="str">
        <f>IFERROR(VLOOKUP(ROWS($W$3:W884),$U$3:$V$992,2,0),"")</f>
        <v>Velkoobchod s pracími a čisticími prostředky</v>
      </c>
      <c r="X884">
        <f>IF(ISNUMBER(SEARCH('1Př1'!$A$34,N884)),MAX($M$2:M883)+1,0)</f>
        <v>882</v>
      </c>
      <c r="Y884" s="325" t="s">
        <v>3210</v>
      </c>
      <c r="Z884" t="str">
        <f>IFERROR(VLOOKUP(ROWS($Z$3:Z884),$X$3:$Y$992,2,0),"")</f>
        <v>Velkoobchod s pracími a čisticími prostředky</v>
      </c>
    </row>
    <row r="885" spans="13:26">
      <c r="M885" s="324">
        <f>IF(ISNUMBER(SEARCH(ZAKL_DATA!$B$29,N885)),MAX($M$2:M884)+1,0)</f>
        <v>883</v>
      </c>
      <c r="N885" s="325" t="s">
        <v>3212</v>
      </c>
      <c r="O885" s="340" t="s">
        <v>3213</v>
      </c>
      <c r="Q885" s="327" t="str">
        <f>IFERROR(VLOOKUP(ROWS($Q$3:Q885),$M$3:$N$992,2,0),"")</f>
        <v>Velkoobchod s pevnými palivy a příbuznými výrobky</v>
      </c>
      <c r="R885">
        <f>IF(ISNUMBER(SEARCH('1Př1'!$A$32,N885)),MAX($M$2:M884)+1,0)</f>
        <v>883</v>
      </c>
      <c r="S885" s="325" t="s">
        <v>3212</v>
      </c>
      <c r="T885" t="str">
        <f>IFERROR(VLOOKUP(ROWS($T$3:T885),$R$3:$S$992,2,0),"")</f>
        <v>Velkoobchod s pevnými palivy a příbuznými výrobky</v>
      </c>
      <c r="U885">
        <f>IF(ISNUMBER(SEARCH('1Př1'!$A$33,N885)),MAX($M$2:M884)+1,0)</f>
        <v>883</v>
      </c>
      <c r="V885" s="325" t="s">
        <v>3212</v>
      </c>
      <c r="W885" t="str">
        <f>IFERROR(VLOOKUP(ROWS($W$3:W885),$U$3:$V$992,2,0),"")</f>
        <v>Velkoobchod s pevnými palivy a příbuznými výrobky</v>
      </c>
      <c r="X885">
        <f>IF(ISNUMBER(SEARCH('1Př1'!$A$34,N885)),MAX($M$2:M884)+1,0)</f>
        <v>883</v>
      </c>
      <c r="Y885" s="325" t="s">
        <v>3212</v>
      </c>
      <c r="Z885" t="str">
        <f>IFERROR(VLOOKUP(ROWS($Z$3:Z885),$X$3:$Y$992,2,0),"")</f>
        <v>Velkoobchod s pevnými palivy a příbuznými výrobky</v>
      </c>
    </row>
    <row r="886" spans="13:26">
      <c r="M886" s="324">
        <f>IF(ISNUMBER(SEARCH(ZAKL_DATA!$B$29,N886)),MAX($M$2:M885)+1,0)</f>
        <v>884</v>
      </c>
      <c r="N886" s="325" t="s">
        <v>3214</v>
      </c>
      <c r="O886" s="340" t="s">
        <v>3215</v>
      </c>
      <c r="Q886" s="327" t="str">
        <f>IFERROR(VLOOKUP(ROWS($Q$3:Q886),$M$3:$N$992,2,0),"")</f>
        <v>Velkoobchod s kapalnými palivy a příbuznými výrobky</v>
      </c>
      <c r="R886">
        <f>IF(ISNUMBER(SEARCH('1Př1'!$A$32,N886)),MAX($M$2:M885)+1,0)</f>
        <v>884</v>
      </c>
      <c r="S886" s="325" t="s">
        <v>3214</v>
      </c>
      <c r="T886" t="str">
        <f>IFERROR(VLOOKUP(ROWS($T$3:T886),$R$3:$S$992,2,0),"")</f>
        <v>Velkoobchod s kapalnými palivy a příbuznými výrobky</v>
      </c>
      <c r="U886">
        <f>IF(ISNUMBER(SEARCH('1Př1'!$A$33,N886)),MAX($M$2:M885)+1,0)</f>
        <v>884</v>
      </c>
      <c r="V886" s="325" t="s">
        <v>3214</v>
      </c>
      <c r="W886" t="str">
        <f>IFERROR(VLOOKUP(ROWS($W$3:W886),$U$3:$V$992,2,0),"")</f>
        <v>Velkoobchod s kapalnými palivy a příbuznými výrobky</v>
      </c>
      <c r="X886">
        <f>IF(ISNUMBER(SEARCH('1Př1'!$A$34,N886)),MAX($M$2:M885)+1,0)</f>
        <v>884</v>
      </c>
      <c r="Y886" s="325" t="s">
        <v>3214</v>
      </c>
      <c r="Z886" t="str">
        <f>IFERROR(VLOOKUP(ROWS($Z$3:Z886),$X$3:$Y$992,2,0),"")</f>
        <v>Velkoobchod s kapalnými palivy a příbuznými výrobky</v>
      </c>
    </row>
    <row r="887" spans="13:26">
      <c r="M887" s="324">
        <f>IF(ISNUMBER(SEARCH(ZAKL_DATA!$B$29,N887)),MAX($M$2:M886)+1,0)</f>
        <v>885</v>
      </c>
      <c r="N887" s="325" t="s">
        <v>3216</v>
      </c>
      <c r="O887" s="340" t="s">
        <v>3217</v>
      </c>
      <c r="Q887" s="327" t="str">
        <f>IFERROR(VLOOKUP(ROWS($Q$3:Q887),$M$3:$N$992,2,0),"")</f>
        <v>Velkoobchod s plynnými palivy a příbuznými výrobky</v>
      </c>
      <c r="R887">
        <f>IF(ISNUMBER(SEARCH('1Př1'!$A$32,N887)),MAX($M$2:M886)+1,0)</f>
        <v>885</v>
      </c>
      <c r="S887" s="325" t="s">
        <v>3216</v>
      </c>
      <c r="T887" t="str">
        <f>IFERROR(VLOOKUP(ROWS($T$3:T887),$R$3:$S$992,2,0),"")</f>
        <v>Velkoobchod s plynnými palivy a příbuznými výrobky</v>
      </c>
      <c r="U887">
        <f>IF(ISNUMBER(SEARCH('1Př1'!$A$33,N887)),MAX($M$2:M886)+1,0)</f>
        <v>885</v>
      </c>
      <c r="V887" s="325" t="s">
        <v>3216</v>
      </c>
      <c r="W887" t="str">
        <f>IFERROR(VLOOKUP(ROWS($W$3:W887),$U$3:$V$992,2,0),"")</f>
        <v>Velkoobchod s plynnými palivy a příbuznými výrobky</v>
      </c>
      <c r="X887">
        <f>IF(ISNUMBER(SEARCH('1Př1'!$A$34,N887)),MAX($M$2:M886)+1,0)</f>
        <v>885</v>
      </c>
      <c r="Y887" s="325" t="s">
        <v>3216</v>
      </c>
      <c r="Z887" t="str">
        <f>IFERROR(VLOOKUP(ROWS($Z$3:Z887),$X$3:$Y$992,2,0),"")</f>
        <v>Velkoobchod s plynnými palivy a příbuznými výrobky</v>
      </c>
    </row>
    <row r="888" spans="13:26">
      <c r="M888" s="324">
        <f>IF(ISNUMBER(SEARCH(ZAKL_DATA!$B$29,N888)),MAX($M$2:M887)+1,0)</f>
        <v>886</v>
      </c>
      <c r="N888" s="325" t="s">
        <v>3218</v>
      </c>
      <c r="O888" s="340" t="s">
        <v>3219</v>
      </c>
      <c r="Q888" s="327" t="str">
        <f>IFERROR(VLOOKUP(ROWS($Q$3:Q888),$M$3:$N$992,2,0),"")</f>
        <v>Velkoobchod s papírenskými meziprodukty</v>
      </c>
      <c r="R888">
        <f>IF(ISNUMBER(SEARCH('1Př1'!$A$32,N888)),MAX($M$2:M887)+1,0)</f>
        <v>886</v>
      </c>
      <c r="S888" s="325" t="s">
        <v>3218</v>
      </c>
      <c r="T888" t="str">
        <f>IFERROR(VLOOKUP(ROWS($T$3:T888),$R$3:$S$992,2,0),"")</f>
        <v>Velkoobchod s papírenskými meziprodukty</v>
      </c>
      <c r="U888">
        <f>IF(ISNUMBER(SEARCH('1Př1'!$A$33,N888)),MAX($M$2:M887)+1,0)</f>
        <v>886</v>
      </c>
      <c r="V888" s="325" t="s">
        <v>3218</v>
      </c>
      <c r="W888" t="str">
        <f>IFERROR(VLOOKUP(ROWS($W$3:W888),$U$3:$V$992,2,0),"")</f>
        <v>Velkoobchod s papírenskými meziprodukty</v>
      </c>
      <c r="X888">
        <f>IF(ISNUMBER(SEARCH('1Př1'!$A$34,N888)),MAX($M$2:M887)+1,0)</f>
        <v>886</v>
      </c>
      <c r="Y888" s="325" t="s">
        <v>3218</v>
      </c>
      <c r="Z888" t="str">
        <f>IFERROR(VLOOKUP(ROWS($Z$3:Z888),$X$3:$Y$992,2,0),"")</f>
        <v>Velkoobchod s papírenskými meziprodukty</v>
      </c>
    </row>
    <row r="889" spans="13:26">
      <c r="M889" s="324">
        <f>IF(ISNUMBER(SEARCH(ZAKL_DATA!$B$29,N889)),MAX($M$2:M888)+1,0)</f>
        <v>887</v>
      </c>
      <c r="N889" s="325" t="s">
        <v>3220</v>
      </c>
      <c r="O889" s="340" t="s">
        <v>3221</v>
      </c>
      <c r="Q889" s="327" t="str">
        <f>IFERROR(VLOOKUP(ROWS($Q$3:Q889),$M$3:$N$992,2,0),"")</f>
        <v>Velkoobchod s ostatními meziprodukty j. n.</v>
      </c>
      <c r="R889">
        <f>IF(ISNUMBER(SEARCH('1Př1'!$A$32,N889)),MAX($M$2:M888)+1,0)</f>
        <v>887</v>
      </c>
      <c r="S889" s="325" t="s">
        <v>3220</v>
      </c>
      <c r="T889" t="str">
        <f>IFERROR(VLOOKUP(ROWS($T$3:T889),$R$3:$S$992,2,0),"")</f>
        <v>Velkoobchod s ostatními meziprodukty j. n.</v>
      </c>
      <c r="U889">
        <f>IF(ISNUMBER(SEARCH('1Př1'!$A$33,N889)),MAX($M$2:M888)+1,0)</f>
        <v>887</v>
      </c>
      <c r="V889" s="325" t="s">
        <v>3220</v>
      </c>
      <c r="W889" t="str">
        <f>IFERROR(VLOOKUP(ROWS($W$3:W889),$U$3:$V$992,2,0),"")</f>
        <v>Velkoobchod s ostatními meziprodukty j. n.</v>
      </c>
      <c r="X889">
        <f>IF(ISNUMBER(SEARCH('1Př1'!$A$34,N889)),MAX($M$2:M888)+1,0)</f>
        <v>887</v>
      </c>
      <c r="Y889" s="325" t="s">
        <v>3220</v>
      </c>
      <c r="Z889" t="str">
        <f>IFERROR(VLOOKUP(ROWS($Z$3:Z889),$X$3:$Y$992,2,0),"")</f>
        <v>Velkoobchod s ostatními meziprodukty j. n.</v>
      </c>
    </row>
    <row r="890" spans="13:26">
      <c r="M890" s="324">
        <f>IF(ISNUMBER(SEARCH(ZAKL_DATA!$B$29,N890)),MAX($M$2:M889)+1,0)</f>
        <v>888</v>
      </c>
      <c r="N890" s="325" t="s">
        <v>3222</v>
      </c>
      <c r="O890" s="340" t="s">
        <v>3223</v>
      </c>
      <c r="Q890" s="327" t="str">
        <f>IFERROR(VLOOKUP(ROWS($Q$3:Q890),$M$3:$N$992,2,0),"")</f>
        <v>Maloobchod s fotografickým a optickým zařízením a potřebami</v>
      </c>
      <c r="R890">
        <f>IF(ISNUMBER(SEARCH('1Př1'!$A$32,N890)),MAX($M$2:M889)+1,0)</f>
        <v>888</v>
      </c>
      <c r="S890" s="325" t="s">
        <v>3222</v>
      </c>
      <c r="T890" t="str">
        <f>IFERROR(VLOOKUP(ROWS($T$3:T890),$R$3:$S$992,2,0),"")</f>
        <v>Maloobchod s fotografickým a optickým zařízením a potřebami</v>
      </c>
      <c r="U890">
        <f>IF(ISNUMBER(SEARCH('1Př1'!$A$33,N890)),MAX($M$2:M889)+1,0)</f>
        <v>888</v>
      </c>
      <c r="V890" s="325" t="s">
        <v>3222</v>
      </c>
      <c r="W890" t="str">
        <f>IFERROR(VLOOKUP(ROWS($W$3:W890),$U$3:$V$992,2,0),"")</f>
        <v>Maloobchod s fotografickým a optickým zařízením a potřebami</v>
      </c>
      <c r="X890">
        <f>IF(ISNUMBER(SEARCH('1Př1'!$A$34,N890)),MAX($M$2:M889)+1,0)</f>
        <v>888</v>
      </c>
      <c r="Y890" s="325" t="s">
        <v>3222</v>
      </c>
      <c r="Z890" t="str">
        <f>IFERROR(VLOOKUP(ROWS($Z$3:Z890),$X$3:$Y$992,2,0),"")</f>
        <v>Maloobchod s fotografickým a optickým zařízením a potřebami</v>
      </c>
    </row>
    <row r="891" spans="13:26">
      <c r="M891" s="324">
        <f>IF(ISNUMBER(SEARCH(ZAKL_DATA!$B$29,N891)),MAX($M$2:M890)+1,0)</f>
        <v>889</v>
      </c>
      <c r="N891" s="325" t="s">
        <v>3224</v>
      </c>
      <c r="O891" s="340" t="s">
        <v>3225</v>
      </c>
      <c r="Q891" s="327" t="str">
        <f>IFERROR(VLOOKUP(ROWS($Q$3:Q891),$M$3:$N$992,2,0),"")</f>
        <v>Maloobchod s pevnými palivy</v>
      </c>
      <c r="R891">
        <f>IF(ISNUMBER(SEARCH('1Př1'!$A$32,N891)),MAX($M$2:M890)+1,0)</f>
        <v>889</v>
      </c>
      <c r="S891" s="325" t="s">
        <v>3224</v>
      </c>
      <c r="T891" t="str">
        <f>IFERROR(VLOOKUP(ROWS($T$3:T891),$R$3:$S$992,2,0),"")</f>
        <v>Maloobchod s pevnými palivy</v>
      </c>
      <c r="U891">
        <f>IF(ISNUMBER(SEARCH('1Př1'!$A$33,N891)),MAX($M$2:M890)+1,0)</f>
        <v>889</v>
      </c>
      <c r="V891" s="325" t="s">
        <v>3224</v>
      </c>
      <c r="W891" t="str">
        <f>IFERROR(VLOOKUP(ROWS($W$3:W891),$U$3:$V$992,2,0),"")</f>
        <v>Maloobchod s pevnými palivy</v>
      </c>
      <c r="X891">
        <f>IF(ISNUMBER(SEARCH('1Př1'!$A$34,N891)),MAX($M$2:M890)+1,0)</f>
        <v>889</v>
      </c>
      <c r="Y891" s="325" t="s">
        <v>3224</v>
      </c>
      <c r="Z891" t="str">
        <f>IFERROR(VLOOKUP(ROWS($Z$3:Z891),$X$3:$Y$992,2,0),"")</f>
        <v>Maloobchod s pevnými palivy</v>
      </c>
    </row>
    <row r="892" spans="13:26">
      <c r="M892" s="324">
        <f>IF(ISNUMBER(SEARCH(ZAKL_DATA!$B$29,N892)),MAX($M$2:M891)+1,0)</f>
        <v>890</v>
      </c>
      <c r="N892" s="325" t="s">
        <v>3226</v>
      </c>
      <c r="O892" s="340" t="s">
        <v>3227</v>
      </c>
      <c r="Q892" s="327" t="str">
        <f>IFERROR(VLOOKUP(ROWS($Q$3:Q892),$M$3:$N$992,2,0),"")</f>
        <v>Maloobchod s kapalnými palivy (kromě pohonných hmot)</v>
      </c>
      <c r="R892">
        <f>IF(ISNUMBER(SEARCH('1Př1'!$A$32,N892)),MAX($M$2:M891)+1,0)</f>
        <v>890</v>
      </c>
      <c r="S892" s="325" t="s">
        <v>3226</v>
      </c>
      <c r="T892" t="str">
        <f>IFERROR(VLOOKUP(ROWS($T$3:T892),$R$3:$S$992,2,0),"")</f>
        <v>Maloobchod s kapalnými palivy (kromě pohonných hmot)</v>
      </c>
      <c r="U892">
        <f>IF(ISNUMBER(SEARCH('1Př1'!$A$33,N892)),MAX($M$2:M891)+1,0)</f>
        <v>890</v>
      </c>
      <c r="V892" s="325" t="s">
        <v>3226</v>
      </c>
      <c r="W892" t="str">
        <f>IFERROR(VLOOKUP(ROWS($W$3:W892),$U$3:$V$992,2,0),"")</f>
        <v>Maloobchod s kapalnými palivy (kromě pohonných hmot)</v>
      </c>
      <c r="X892">
        <f>IF(ISNUMBER(SEARCH('1Př1'!$A$34,N892)),MAX($M$2:M891)+1,0)</f>
        <v>890</v>
      </c>
      <c r="Y892" s="325" t="s">
        <v>3226</v>
      </c>
      <c r="Z892" t="str">
        <f>IFERROR(VLOOKUP(ROWS($Z$3:Z892),$X$3:$Y$992,2,0),"")</f>
        <v>Maloobchod s kapalnými palivy (kromě pohonných hmot)</v>
      </c>
    </row>
    <row r="893" spans="13:26">
      <c r="M893" s="324">
        <f>IF(ISNUMBER(SEARCH(ZAKL_DATA!$B$29,N893)),MAX($M$2:M892)+1,0)</f>
        <v>891</v>
      </c>
      <c r="N893" s="325" t="s">
        <v>3228</v>
      </c>
      <c r="O893" s="340" t="s">
        <v>3229</v>
      </c>
      <c r="Q893" s="327" t="str">
        <f>IFERROR(VLOOKUP(ROWS($Q$3:Q893),$M$3:$N$992,2,0),"")</f>
        <v>Maloobchod s plynnými palivy (kromě pohonných hmot)</v>
      </c>
      <c r="R893">
        <f>IF(ISNUMBER(SEARCH('1Př1'!$A$32,N893)),MAX($M$2:M892)+1,0)</f>
        <v>891</v>
      </c>
      <c r="S893" s="325" t="s">
        <v>3228</v>
      </c>
      <c r="T893" t="str">
        <f>IFERROR(VLOOKUP(ROWS($T$3:T893),$R$3:$S$992,2,0),"")</f>
        <v>Maloobchod s plynnými palivy (kromě pohonných hmot)</v>
      </c>
      <c r="U893">
        <f>IF(ISNUMBER(SEARCH('1Př1'!$A$33,N893)),MAX($M$2:M892)+1,0)</f>
        <v>891</v>
      </c>
      <c r="V893" s="325" t="s">
        <v>3228</v>
      </c>
      <c r="W893" t="str">
        <f>IFERROR(VLOOKUP(ROWS($W$3:W893),$U$3:$V$992,2,0),"")</f>
        <v>Maloobchod s plynnými palivy (kromě pohonných hmot)</v>
      </c>
      <c r="X893">
        <f>IF(ISNUMBER(SEARCH('1Př1'!$A$34,N893)),MAX($M$2:M892)+1,0)</f>
        <v>891</v>
      </c>
      <c r="Y893" s="325" t="s">
        <v>3228</v>
      </c>
      <c r="Z893" t="str">
        <f>IFERROR(VLOOKUP(ROWS($Z$3:Z893),$X$3:$Y$992,2,0),"")</f>
        <v>Maloobchod s plynnými palivy (kromě pohonných hmot)</v>
      </c>
    </row>
    <row r="894" spans="13:26">
      <c r="M894" s="324">
        <f>IF(ISNUMBER(SEARCH(ZAKL_DATA!$B$29,N894)),MAX($M$2:M893)+1,0)</f>
        <v>892</v>
      </c>
      <c r="N894" s="325" t="s">
        <v>3230</v>
      </c>
      <c r="O894" s="340" t="s">
        <v>3231</v>
      </c>
      <c r="Q894" s="327" t="str">
        <f>IFERROR(VLOOKUP(ROWS($Q$3:Q894),$M$3:$N$992,2,0),"")</f>
        <v>Ostatní maloobchod s novým zbožím ve specializovaných prodejnách j. n.</v>
      </c>
      <c r="R894">
        <f>IF(ISNUMBER(SEARCH('1Př1'!$A$32,N894)),MAX($M$2:M893)+1,0)</f>
        <v>892</v>
      </c>
      <c r="S894" s="325" t="s">
        <v>3230</v>
      </c>
      <c r="T894" t="str">
        <f>IFERROR(VLOOKUP(ROWS($T$3:T894),$R$3:$S$992,2,0),"")</f>
        <v>Ostatní maloobchod s novým zbožím ve specializovaných prodejnách j. n.</v>
      </c>
      <c r="U894">
        <f>IF(ISNUMBER(SEARCH('1Př1'!$A$33,N894)),MAX($M$2:M893)+1,0)</f>
        <v>892</v>
      </c>
      <c r="V894" s="325" t="s">
        <v>3230</v>
      </c>
      <c r="W894" t="str">
        <f>IFERROR(VLOOKUP(ROWS($W$3:W894),$U$3:$V$992,2,0),"")</f>
        <v>Ostatní maloobchod s novým zbožím ve specializovaných prodejnách j. n.</v>
      </c>
      <c r="X894">
        <f>IF(ISNUMBER(SEARCH('1Př1'!$A$34,N894)),MAX($M$2:M893)+1,0)</f>
        <v>892</v>
      </c>
      <c r="Y894" s="325" t="s">
        <v>3230</v>
      </c>
      <c r="Z894" t="str">
        <f>IFERROR(VLOOKUP(ROWS($Z$3:Z894),$X$3:$Y$992,2,0),"")</f>
        <v>Ostatní maloobchod s novým zbožím ve specializovaných prodejnách j. n.</v>
      </c>
    </row>
    <row r="895" spans="13:26">
      <c r="M895" s="324">
        <f>IF(ISNUMBER(SEARCH(ZAKL_DATA!$B$29,N895)),MAX($M$2:M894)+1,0)</f>
        <v>893</v>
      </c>
      <c r="N895" s="325" t="s">
        <v>3232</v>
      </c>
      <c r="O895" s="340" t="s">
        <v>3233</v>
      </c>
      <c r="Q895" s="327" t="str">
        <f>IFERROR(VLOOKUP(ROWS($Q$3:Q895),$M$3:$N$992,2,0),"")</f>
        <v>Maloobchod prostřednictvím internetu</v>
      </c>
      <c r="R895">
        <f>IF(ISNUMBER(SEARCH('1Př1'!$A$32,N895)),MAX($M$2:M894)+1,0)</f>
        <v>893</v>
      </c>
      <c r="S895" s="325" t="s">
        <v>3232</v>
      </c>
      <c r="T895" t="str">
        <f>IFERROR(VLOOKUP(ROWS($T$3:T895),$R$3:$S$992,2,0),"")</f>
        <v>Maloobchod prostřednictvím internetu</v>
      </c>
      <c r="U895">
        <f>IF(ISNUMBER(SEARCH('1Př1'!$A$33,N895)),MAX($M$2:M894)+1,0)</f>
        <v>893</v>
      </c>
      <c r="V895" s="325" t="s">
        <v>3232</v>
      </c>
      <c r="W895" t="str">
        <f>IFERROR(VLOOKUP(ROWS($W$3:W895),$U$3:$V$992,2,0),"")</f>
        <v>Maloobchod prostřednictvím internetu</v>
      </c>
      <c r="X895">
        <f>IF(ISNUMBER(SEARCH('1Př1'!$A$34,N895)),MAX($M$2:M894)+1,0)</f>
        <v>893</v>
      </c>
      <c r="Y895" s="325" t="s">
        <v>3232</v>
      </c>
      <c r="Z895" t="str">
        <f>IFERROR(VLOOKUP(ROWS($Z$3:Z895),$X$3:$Y$992,2,0),"")</f>
        <v>Maloobchod prostřednictvím internetu</v>
      </c>
    </row>
    <row r="896" spans="13:26">
      <c r="M896" s="324">
        <f>IF(ISNUMBER(SEARCH(ZAKL_DATA!$B$29,N896)),MAX($M$2:M895)+1,0)</f>
        <v>894</v>
      </c>
      <c r="N896" s="325" t="s">
        <v>3234</v>
      </c>
      <c r="O896" s="340" t="s">
        <v>3235</v>
      </c>
      <c r="Q896" s="327" t="str">
        <f>IFERROR(VLOOKUP(ROWS($Q$3:Q896),$M$3:$N$992,2,0),"")</f>
        <v>Maloobchod prostřednictvím zásilkové služby(jiný než prostř.internetu)</v>
      </c>
      <c r="R896">
        <f>IF(ISNUMBER(SEARCH('1Př1'!$A$32,N896)),MAX($M$2:M895)+1,0)</f>
        <v>894</v>
      </c>
      <c r="S896" s="325" t="s">
        <v>3234</v>
      </c>
      <c r="T896" t="str">
        <f>IFERROR(VLOOKUP(ROWS($T$3:T896),$R$3:$S$992,2,0),"")</f>
        <v>Maloobchod prostřednictvím zásilkové služby(jiný než prostř.internetu)</v>
      </c>
      <c r="U896">
        <f>IF(ISNUMBER(SEARCH('1Př1'!$A$33,N896)),MAX($M$2:M895)+1,0)</f>
        <v>894</v>
      </c>
      <c r="V896" s="325" t="s">
        <v>3234</v>
      </c>
      <c r="W896" t="str">
        <f>IFERROR(VLOOKUP(ROWS($W$3:W896),$U$3:$V$992,2,0),"")</f>
        <v>Maloobchod prostřednictvím zásilkové služby(jiný než prostř.internetu)</v>
      </c>
      <c r="X896">
        <f>IF(ISNUMBER(SEARCH('1Př1'!$A$34,N896)),MAX($M$2:M895)+1,0)</f>
        <v>894</v>
      </c>
      <c r="Y896" s="325" t="s">
        <v>3234</v>
      </c>
      <c r="Z896" t="str">
        <f>IFERROR(VLOOKUP(ROWS($Z$3:Z896),$X$3:$Y$992,2,0),"")</f>
        <v>Maloobchod prostřednictvím zásilkové služby(jiný než prostř.internetu)</v>
      </c>
    </row>
    <row r="897" spans="13:26">
      <c r="M897" s="324">
        <f>IF(ISNUMBER(SEARCH(ZAKL_DATA!$B$29,N897)),MAX($M$2:M896)+1,0)</f>
        <v>895</v>
      </c>
      <c r="N897" s="325" t="s">
        <v>3236</v>
      </c>
      <c r="O897" s="340" t="s">
        <v>3237</v>
      </c>
      <c r="Q897" s="327" t="str">
        <f>IFERROR(VLOOKUP(ROWS($Q$3:Q897),$M$3:$N$992,2,0),"")</f>
        <v>Meziměstská pravidelná pozemní osobní doprava</v>
      </c>
      <c r="R897">
        <f>IF(ISNUMBER(SEARCH('1Př1'!$A$32,N897)),MAX($M$2:M896)+1,0)</f>
        <v>895</v>
      </c>
      <c r="S897" s="325" t="s">
        <v>3236</v>
      </c>
      <c r="T897" t="str">
        <f>IFERROR(VLOOKUP(ROWS($T$3:T897),$R$3:$S$992,2,0),"")</f>
        <v>Meziměstská pravidelná pozemní osobní doprava</v>
      </c>
      <c r="U897">
        <f>IF(ISNUMBER(SEARCH('1Př1'!$A$33,N897)),MAX($M$2:M896)+1,0)</f>
        <v>895</v>
      </c>
      <c r="V897" s="325" t="s">
        <v>3236</v>
      </c>
      <c r="W897" t="str">
        <f>IFERROR(VLOOKUP(ROWS($W$3:W897),$U$3:$V$992,2,0),"")</f>
        <v>Meziměstská pravidelná pozemní osobní doprava</v>
      </c>
      <c r="X897">
        <f>IF(ISNUMBER(SEARCH('1Př1'!$A$34,N897)),MAX($M$2:M896)+1,0)</f>
        <v>895</v>
      </c>
      <c r="Y897" s="325" t="s">
        <v>3236</v>
      </c>
      <c r="Z897" t="str">
        <f>IFERROR(VLOOKUP(ROWS($Z$3:Z897),$X$3:$Y$992,2,0),"")</f>
        <v>Meziměstská pravidelná pozemní osobní doprava</v>
      </c>
    </row>
    <row r="898" spans="13:26">
      <c r="M898" s="324">
        <f>IF(ISNUMBER(SEARCH(ZAKL_DATA!$B$29,N898)),MAX($M$2:M897)+1,0)</f>
        <v>896</v>
      </c>
      <c r="N898" s="325" t="s">
        <v>3238</v>
      </c>
      <c r="O898" s="340" t="s">
        <v>3239</v>
      </c>
      <c r="Q898" s="327" t="str">
        <f>IFERROR(VLOOKUP(ROWS($Q$3:Q898),$M$3:$N$992,2,0),"")</f>
        <v>Osobní doprava lanovkou nebo vlekem</v>
      </c>
      <c r="R898">
        <f>IF(ISNUMBER(SEARCH('1Př1'!$A$32,N898)),MAX($M$2:M897)+1,0)</f>
        <v>896</v>
      </c>
      <c r="S898" s="325" t="s">
        <v>3238</v>
      </c>
      <c r="T898" t="str">
        <f>IFERROR(VLOOKUP(ROWS($T$3:T898),$R$3:$S$992,2,0),"")</f>
        <v>Osobní doprava lanovkou nebo vlekem</v>
      </c>
      <c r="U898">
        <f>IF(ISNUMBER(SEARCH('1Př1'!$A$33,N898)),MAX($M$2:M897)+1,0)</f>
        <v>896</v>
      </c>
      <c r="V898" s="325" t="s">
        <v>3238</v>
      </c>
      <c r="W898" t="str">
        <f>IFERROR(VLOOKUP(ROWS($W$3:W898),$U$3:$V$992,2,0),"")</f>
        <v>Osobní doprava lanovkou nebo vlekem</v>
      </c>
      <c r="X898">
        <f>IF(ISNUMBER(SEARCH('1Př1'!$A$34,N898)),MAX($M$2:M897)+1,0)</f>
        <v>896</v>
      </c>
      <c r="Y898" s="325" t="s">
        <v>3238</v>
      </c>
      <c r="Z898" t="str">
        <f>IFERROR(VLOOKUP(ROWS($Z$3:Z898),$X$3:$Y$992,2,0),"")</f>
        <v>Osobní doprava lanovkou nebo vlekem</v>
      </c>
    </row>
    <row r="899" spans="13:26">
      <c r="M899" s="324">
        <f>IF(ISNUMBER(SEARCH(ZAKL_DATA!$B$29,N899)),MAX($M$2:M898)+1,0)</f>
        <v>897</v>
      </c>
      <c r="N899" s="325" t="s">
        <v>3240</v>
      </c>
      <c r="O899" s="340" t="s">
        <v>3241</v>
      </c>
      <c r="Q899" s="327" t="str">
        <f>IFERROR(VLOOKUP(ROWS($Q$3:Q899),$M$3:$N$992,2,0),"")</f>
        <v>Nepravidelná pozemní osobní doprava</v>
      </c>
      <c r="R899">
        <f>IF(ISNUMBER(SEARCH('1Př1'!$A$32,N899)),MAX($M$2:M898)+1,0)</f>
        <v>897</v>
      </c>
      <c r="S899" s="325" t="s">
        <v>3240</v>
      </c>
      <c r="T899" t="str">
        <f>IFERROR(VLOOKUP(ROWS($T$3:T899),$R$3:$S$992,2,0),"")</f>
        <v>Nepravidelná pozemní osobní doprava</v>
      </c>
      <c r="U899">
        <f>IF(ISNUMBER(SEARCH('1Př1'!$A$33,N899)),MAX($M$2:M898)+1,0)</f>
        <v>897</v>
      </c>
      <c r="V899" s="325" t="s">
        <v>3240</v>
      </c>
      <c r="W899" t="str">
        <f>IFERROR(VLOOKUP(ROWS($W$3:W899),$U$3:$V$992,2,0),"")</f>
        <v>Nepravidelná pozemní osobní doprava</v>
      </c>
      <c r="X899">
        <f>IF(ISNUMBER(SEARCH('1Př1'!$A$34,N899)),MAX($M$2:M898)+1,0)</f>
        <v>897</v>
      </c>
      <c r="Y899" s="325" t="s">
        <v>3240</v>
      </c>
      <c r="Z899" t="str">
        <f>IFERROR(VLOOKUP(ROWS($Z$3:Z899),$X$3:$Y$992,2,0),"")</f>
        <v>Nepravidelná pozemní osobní doprava</v>
      </c>
    </row>
    <row r="900" spans="13:26">
      <c r="M900" s="324">
        <f>IF(ISNUMBER(SEARCH(ZAKL_DATA!$B$29,N900)),MAX($M$2:M899)+1,0)</f>
        <v>898</v>
      </c>
      <c r="N900" s="325" t="s">
        <v>3242</v>
      </c>
      <c r="O900" s="340" t="s">
        <v>3243</v>
      </c>
      <c r="Q900" s="327" t="str">
        <f>IFERROR(VLOOKUP(ROWS($Q$3:Q900),$M$3:$N$992,2,0),"")</f>
        <v>Jiná pozemní osobní doprava j. n.</v>
      </c>
      <c r="R900">
        <f>IF(ISNUMBER(SEARCH('1Př1'!$A$32,N900)),MAX($M$2:M899)+1,0)</f>
        <v>898</v>
      </c>
      <c r="S900" s="325" t="s">
        <v>3242</v>
      </c>
      <c r="T900" t="str">
        <f>IFERROR(VLOOKUP(ROWS($T$3:T900),$R$3:$S$992,2,0),"")</f>
        <v>Jiná pozemní osobní doprava j. n.</v>
      </c>
      <c r="U900">
        <f>IF(ISNUMBER(SEARCH('1Př1'!$A$33,N900)),MAX($M$2:M899)+1,0)</f>
        <v>898</v>
      </c>
      <c r="V900" s="325" t="s">
        <v>3242</v>
      </c>
      <c r="W900" t="str">
        <f>IFERROR(VLOOKUP(ROWS($W$3:W900),$U$3:$V$992,2,0),"")</f>
        <v>Jiná pozemní osobní doprava j. n.</v>
      </c>
      <c r="X900">
        <f>IF(ISNUMBER(SEARCH('1Př1'!$A$34,N900)),MAX($M$2:M899)+1,0)</f>
        <v>898</v>
      </c>
      <c r="Y900" s="325" t="s">
        <v>3242</v>
      </c>
      <c r="Z900" t="str">
        <f>IFERROR(VLOOKUP(ROWS($Z$3:Z900),$X$3:$Y$992,2,0),"")</f>
        <v>Jiná pozemní osobní doprava j. n.</v>
      </c>
    </row>
    <row r="901" spans="13:26">
      <c r="M901" s="324">
        <f>IF(ISNUMBER(SEARCH(ZAKL_DATA!$B$29,N901)),MAX($M$2:M900)+1,0)</f>
        <v>899</v>
      </c>
      <c r="N901" s="325" t="s">
        <v>3244</v>
      </c>
      <c r="O901" s="340" t="s">
        <v>3245</v>
      </c>
      <c r="Q901" s="327" t="str">
        <f>IFERROR(VLOOKUP(ROWS($Q$3:Q901),$M$3:$N$992,2,0),"")</f>
        <v>Potrubní doprava ropovodem</v>
      </c>
      <c r="R901">
        <f>IF(ISNUMBER(SEARCH('1Př1'!$A$32,N901)),MAX($M$2:M900)+1,0)</f>
        <v>899</v>
      </c>
      <c r="S901" s="325" t="s">
        <v>3244</v>
      </c>
      <c r="T901" t="str">
        <f>IFERROR(VLOOKUP(ROWS($T$3:T901),$R$3:$S$992,2,0),"")</f>
        <v>Potrubní doprava ropovodem</v>
      </c>
      <c r="U901">
        <f>IF(ISNUMBER(SEARCH('1Př1'!$A$33,N901)),MAX($M$2:M900)+1,0)</f>
        <v>899</v>
      </c>
      <c r="V901" s="325" t="s">
        <v>3244</v>
      </c>
      <c r="W901" t="str">
        <f>IFERROR(VLOOKUP(ROWS($W$3:W901),$U$3:$V$992,2,0),"")</f>
        <v>Potrubní doprava ropovodem</v>
      </c>
      <c r="X901">
        <f>IF(ISNUMBER(SEARCH('1Př1'!$A$34,N901)),MAX($M$2:M900)+1,0)</f>
        <v>899</v>
      </c>
      <c r="Y901" s="325" t="s">
        <v>3244</v>
      </c>
      <c r="Z901" t="str">
        <f>IFERROR(VLOOKUP(ROWS($Z$3:Z901),$X$3:$Y$992,2,0),"")</f>
        <v>Potrubní doprava ropovodem</v>
      </c>
    </row>
    <row r="902" spans="13:26">
      <c r="M902" s="324">
        <f>IF(ISNUMBER(SEARCH(ZAKL_DATA!$B$29,N902)),MAX($M$2:M901)+1,0)</f>
        <v>900</v>
      </c>
      <c r="N902" s="325" t="s">
        <v>3246</v>
      </c>
      <c r="O902" s="340" t="s">
        <v>3247</v>
      </c>
      <c r="Q902" s="327" t="str">
        <f>IFERROR(VLOOKUP(ROWS($Q$3:Q902),$M$3:$N$992,2,0),"")</f>
        <v>Potrubní doprava plynovodem</v>
      </c>
      <c r="R902">
        <f>IF(ISNUMBER(SEARCH('1Př1'!$A$32,N902)),MAX($M$2:M901)+1,0)</f>
        <v>900</v>
      </c>
      <c r="S902" s="325" t="s">
        <v>3246</v>
      </c>
      <c r="T902" t="str">
        <f>IFERROR(VLOOKUP(ROWS($T$3:T902),$R$3:$S$992,2,0),"")</f>
        <v>Potrubní doprava plynovodem</v>
      </c>
      <c r="U902">
        <f>IF(ISNUMBER(SEARCH('1Př1'!$A$33,N902)),MAX($M$2:M901)+1,0)</f>
        <v>900</v>
      </c>
      <c r="V902" s="325" t="s">
        <v>3246</v>
      </c>
      <c r="W902" t="str">
        <f>IFERROR(VLOOKUP(ROWS($W$3:W902),$U$3:$V$992,2,0),"")</f>
        <v>Potrubní doprava plynovodem</v>
      </c>
      <c r="X902">
        <f>IF(ISNUMBER(SEARCH('1Př1'!$A$34,N902)),MAX($M$2:M901)+1,0)</f>
        <v>900</v>
      </c>
      <c r="Y902" s="325" t="s">
        <v>3246</v>
      </c>
      <c r="Z902" t="str">
        <f>IFERROR(VLOOKUP(ROWS($Z$3:Z902),$X$3:$Y$992,2,0),"")</f>
        <v>Potrubní doprava plynovodem</v>
      </c>
    </row>
    <row r="903" spans="13:26">
      <c r="M903" s="324">
        <f>IF(ISNUMBER(SEARCH(ZAKL_DATA!$B$29,N903)),MAX($M$2:M902)+1,0)</f>
        <v>901</v>
      </c>
      <c r="N903" s="325" t="s">
        <v>3248</v>
      </c>
      <c r="O903" s="340" t="s">
        <v>3249</v>
      </c>
      <c r="Q903" s="327" t="str">
        <f>IFERROR(VLOOKUP(ROWS($Q$3:Q903),$M$3:$N$992,2,0),"")</f>
        <v>Potrubní doprava ostatní</v>
      </c>
      <c r="R903">
        <f>IF(ISNUMBER(SEARCH('1Př1'!$A$32,N903)),MAX($M$2:M902)+1,0)</f>
        <v>901</v>
      </c>
      <c r="S903" s="325" t="s">
        <v>3248</v>
      </c>
      <c r="T903" t="str">
        <f>IFERROR(VLOOKUP(ROWS($T$3:T903),$R$3:$S$992,2,0),"")</f>
        <v>Potrubní doprava ostatní</v>
      </c>
      <c r="U903">
        <f>IF(ISNUMBER(SEARCH('1Př1'!$A$33,N903)),MAX($M$2:M902)+1,0)</f>
        <v>901</v>
      </c>
      <c r="V903" s="325" t="s">
        <v>3248</v>
      </c>
      <c r="W903" t="str">
        <f>IFERROR(VLOOKUP(ROWS($W$3:W903),$U$3:$V$992,2,0),"")</f>
        <v>Potrubní doprava ostatní</v>
      </c>
      <c r="X903">
        <f>IF(ISNUMBER(SEARCH('1Př1'!$A$34,N903)),MAX($M$2:M902)+1,0)</f>
        <v>901</v>
      </c>
      <c r="Y903" s="325" t="s">
        <v>3248</v>
      </c>
      <c r="Z903" t="str">
        <f>IFERROR(VLOOKUP(ROWS($Z$3:Z903),$X$3:$Y$992,2,0),"")</f>
        <v>Potrubní doprava ostatní</v>
      </c>
    </row>
    <row r="904" spans="13:26">
      <c r="M904" s="324">
        <f>IF(ISNUMBER(SEARCH(ZAKL_DATA!$B$29,N904)),MAX($M$2:M903)+1,0)</f>
        <v>902</v>
      </c>
      <c r="N904" s="325" t="s">
        <v>3250</v>
      </c>
      <c r="O904" s="340" t="s">
        <v>3251</v>
      </c>
      <c r="Q904" s="327" t="str">
        <f>IFERROR(VLOOKUP(ROWS($Q$3:Q904),$M$3:$N$992,2,0),"")</f>
        <v>Vnitrostátní pravidelná letecká osobní doprava</v>
      </c>
      <c r="R904">
        <f>IF(ISNUMBER(SEARCH('1Př1'!$A$32,N904)),MAX($M$2:M903)+1,0)</f>
        <v>902</v>
      </c>
      <c r="S904" s="325" t="s">
        <v>3250</v>
      </c>
      <c r="T904" t="str">
        <f>IFERROR(VLOOKUP(ROWS($T$3:T904),$R$3:$S$992,2,0),"")</f>
        <v>Vnitrostátní pravidelná letecká osobní doprava</v>
      </c>
      <c r="U904">
        <f>IF(ISNUMBER(SEARCH('1Př1'!$A$33,N904)),MAX($M$2:M903)+1,0)</f>
        <v>902</v>
      </c>
      <c r="V904" s="325" t="s">
        <v>3250</v>
      </c>
      <c r="W904" t="str">
        <f>IFERROR(VLOOKUP(ROWS($W$3:W904),$U$3:$V$992,2,0),"")</f>
        <v>Vnitrostátní pravidelná letecká osobní doprava</v>
      </c>
      <c r="X904">
        <f>IF(ISNUMBER(SEARCH('1Př1'!$A$34,N904)),MAX($M$2:M903)+1,0)</f>
        <v>902</v>
      </c>
      <c r="Y904" s="325" t="s">
        <v>3250</v>
      </c>
      <c r="Z904" t="str">
        <f>IFERROR(VLOOKUP(ROWS($Z$3:Z904),$X$3:$Y$992,2,0),"")</f>
        <v>Vnitrostátní pravidelná letecká osobní doprava</v>
      </c>
    </row>
    <row r="905" spans="13:26">
      <c r="M905" s="324">
        <f>IF(ISNUMBER(SEARCH(ZAKL_DATA!$B$29,N905)),MAX($M$2:M904)+1,0)</f>
        <v>903</v>
      </c>
      <c r="N905" s="325" t="s">
        <v>3252</v>
      </c>
      <c r="O905" s="340" t="s">
        <v>3253</v>
      </c>
      <c r="Q905" s="327" t="str">
        <f>IFERROR(VLOOKUP(ROWS($Q$3:Q905),$M$3:$N$992,2,0),"")</f>
        <v>Vnitrostátní nepravidelná letecká osobní doprava</v>
      </c>
      <c r="R905">
        <f>IF(ISNUMBER(SEARCH('1Př1'!$A$32,N905)),MAX($M$2:M904)+1,0)</f>
        <v>903</v>
      </c>
      <c r="S905" s="325" t="s">
        <v>3252</v>
      </c>
      <c r="T905" t="str">
        <f>IFERROR(VLOOKUP(ROWS($T$3:T905),$R$3:$S$992,2,0),"")</f>
        <v>Vnitrostátní nepravidelná letecká osobní doprava</v>
      </c>
      <c r="U905">
        <f>IF(ISNUMBER(SEARCH('1Př1'!$A$33,N905)),MAX($M$2:M904)+1,0)</f>
        <v>903</v>
      </c>
      <c r="V905" s="325" t="s">
        <v>3252</v>
      </c>
      <c r="W905" t="str">
        <f>IFERROR(VLOOKUP(ROWS($W$3:W905),$U$3:$V$992,2,0),"")</f>
        <v>Vnitrostátní nepravidelná letecká osobní doprava</v>
      </c>
      <c r="X905">
        <f>IF(ISNUMBER(SEARCH('1Př1'!$A$34,N905)),MAX($M$2:M904)+1,0)</f>
        <v>903</v>
      </c>
      <c r="Y905" s="325" t="s">
        <v>3252</v>
      </c>
      <c r="Z905" t="str">
        <f>IFERROR(VLOOKUP(ROWS($Z$3:Z905),$X$3:$Y$992,2,0),"")</f>
        <v>Vnitrostátní nepravidelná letecká osobní doprava</v>
      </c>
    </row>
    <row r="906" spans="13:26">
      <c r="M906" s="324">
        <f>IF(ISNUMBER(SEARCH(ZAKL_DATA!$B$29,N906)),MAX($M$2:M905)+1,0)</f>
        <v>904</v>
      </c>
      <c r="N906" s="325" t="s">
        <v>3254</v>
      </c>
      <c r="O906" s="340" t="s">
        <v>3255</v>
      </c>
      <c r="Q906" s="327" t="str">
        <f>IFERROR(VLOOKUP(ROWS($Q$3:Q906),$M$3:$N$992,2,0),"")</f>
        <v>Mezinárodní pravidelná letecká osobní doprava</v>
      </c>
      <c r="R906">
        <f>IF(ISNUMBER(SEARCH('1Př1'!$A$32,N906)),MAX($M$2:M905)+1,0)</f>
        <v>904</v>
      </c>
      <c r="S906" s="325" t="s">
        <v>3254</v>
      </c>
      <c r="T906" t="str">
        <f>IFERROR(VLOOKUP(ROWS($T$3:T906),$R$3:$S$992,2,0),"")</f>
        <v>Mezinárodní pravidelná letecká osobní doprava</v>
      </c>
      <c r="U906">
        <f>IF(ISNUMBER(SEARCH('1Př1'!$A$33,N906)),MAX($M$2:M905)+1,0)</f>
        <v>904</v>
      </c>
      <c r="V906" s="325" t="s">
        <v>3254</v>
      </c>
      <c r="W906" t="str">
        <f>IFERROR(VLOOKUP(ROWS($W$3:W906),$U$3:$V$992,2,0),"")</f>
        <v>Mezinárodní pravidelná letecká osobní doprava</v>
      </c>
      <c r="X906">
        <f>IF(ISNUMBER(SEARCH('1Př1'!$A$34,N906)),MAX($M$2:M905)+1,0)</f>
        <v>904</v>
      </c>
      <c r="Y906" s="325" t="s">
        <v>3254</v>
      </c>
      <c r="Z906" t="str">
        <f>IFERROR(VLOOKUP(ROWS($Z$3:Z906),$X$3:$Y$992,2,0),"")</f>
        <v>Mezinárodní pravidelná letecká osobní doprava</v>
      </c>
    </row>
    <row r="907" spans="13:26">
      <c r="M907" s="324">
        <f>IF(ISNUMBER(SEARCH(ZAKL_DATA!$B$29,N907)),MAX($M$2:M906)+1,0)</f>
        <v>905</v>
      </c>
      <c r="N907" s="325" t="s">
        <v>3256</v>
      </c>
      <c r="O907" s="340" t="s">
        <v>3257</v>
      </c>
      <c r="Q907" s="327" t="str">
        <f>IFERROR(VLOOKUP(ROWS($Q$3:Q907),$M$3:$N$992,2,0),"")</f>
        <v>Mezinárodní nepravidelná letecká osobní doprava</v>
      </c>
      <c r="R907">
        <f>IF(ISNUMBER(SEARCH('1Př1'!$A$32,N907)),MAX($M$2:M906)+1,0)</f>
        <v>905</v>
      </c>
      <c r="S907" s="325" t="s">
        <v>3256</v>
      </c>
      <c r="T907" t="str">
        <f>IFERROR(VLOOKUP(ROWS($T$3:T907),$R$3:$S$992,2,0),"")</f>
        <v>Mezinárodní nepravidelná letecká osobní doprava</v>
      </c>
      <c r="U907">
        <f>IF(ISNUMBER(SEARCH('1Př1'!$A$33,N907)),MAX($M$2:M906)+1,0)</f>
        <v>905</v>
      </c>
      <c r="V907" s="325" t="s">
        <v>3256</v>
      </c>
      <c r="W907" t="str">
        <f>IFERROR(VLOOKUP(ROWS($W$3:W907),$U$3:$V$992,2,0),"")</f>
        <v>Mezinárodní nepravidelná letecká osobní doprava</v>
      </c>
      <c r="X907">
        <f>IF(ISNUMBER(SEARCH('1Př1'!$A$34,N907)),MAX($M$2:M906)+1,0)</f>
        <v>905</v>
      </c>
      <c r="Y907" s="325" t="s">
        <v>3256</v>
      </c>
      <c r="Z907" t="str">
        <f>IFERROR(VLOOKUP(ROWS($Z$3:Z907),$X$3:$Y$992,2,0),"")</f>
        <v>Mezinárodní nepravidelná letecká osobní doprava</v>
      </c>
    </row>
    <row r="908" spans="13:26">
      <c r="M908" s="324">
        <f>IF(ISNUMBER(SEARCH(ZAKL_DATA!$B$29,N908)),MAX($M$2:M907)+1,0)</f>
        <v>906</v>
      </c>
      <c r="N908" s="325" t="s">
        <v>3258</v>
      </c>
      <c r="O908" s="340" t="s">
        <v>3259</v>
      </c>
      <c r="Q908" s="327" t="str">
        <f>IFERROR(VLOOKUP(ROWS($Q$3:Q908),$M$3:$N$992,2,0),"")</f>
        <v>Ostatní letecká osobní doprava</v>
      </c>
      <c r="R908">
        <f>IF(ISNUMBER(SEARCH('1Př1'!$A$32,N908)),MAX($M$2:M907)+1,0)</f>
        <v>906</v>
      </c>
      <c r="S908" s="325" t="s">
        <v>3258</v>
      </c>
      <c r="T908" t="str">
        <f>IFERROR(VLOOKUP(ROWS($T$3:T908),$R$3:$S$992,2,0),"")</f>
        <v>Ostatní letecká osobní doprava</v>
      </c>
      <c r="U908">
        <f>IF(ISNUMBER(SEARCH('1Př1'!$A$33,N908)),MAX($M$2:M907)+1,0)</f>
        <v>906</v>
      </c>
      <c r="V908" s="325" t="s">
        <v>3258</v>
      </c>
      <c r="W908" t="str">
        <f>IFERROR(VLOOKUP(ROWS($W$3:W908),$U$3:$V$992,2,0),"")</f>
        <v>Ostatní letecká osobní doprava</v>
      </c>
      <c r="X908">
        <f>IF(ISNUMBER(SEARCH('1Př1'!$A$34,N908)),MAX($M$2:M907)+1,0)</f>
        <v>906</v>
      </c>
      <c r="Y908" s="325" t="s">
        <v>3258</v>
      </c>
      <c r="Z908" t="str">
        <f>IFERROR(VLOOKUP(ROWS($Z$3:Z908),$X$3:$Y$992,2,0),"")</f>
        <v>Ostatní letecká osobní doprava</v>
      </c>
    </row>
    <row r="909" spans="13:26">
      <c r="M909" s="324">
        <f>IF(ISNUMBER(SEARCH(ZAKL_DATA!$B$29,N909)),MAX($M$2:M908)+1,0)</f>
        <v>907</v>
      </c>
      <c r="N909" s="325" t="s">
        <v>3260</v>
      </c>
      <c r="O909" s="340" t="s">
        <v>3261</v>
      </c>
      <c r="Q909" s="327" t="str">
        <f>IFERROR(VLOOKUP(ROWS($Q$3:Q909),$M$3:$N$992,2,0),"")</f>
        <v>Hotely</v>
      </c>
      <c r="R909">
        <f>IF(ISNUMBER(SEARCH('1Př1'!$A$32,N909)),MAX($M$2:M908)+1,0)</f>
        <v>907</v>
      </c>
      <c r="S909" s="325" t="s">
        <v>3260</v>
      </c>
      <c r="T909" t="str">
        <f>IFERROR(VLOOKUP(ROWS($T$3:T909),$R$3:$S$992,2,0),"")</f>
        <v>Hotely</v>
      </c>
      <c r="U909">
        <f>IF(ISNUMBER(SEARCH('1Př1'!$A$33,N909)),MAX($M$2:M908)+1,0)</f>
        <v>907</v>
      </c>
      <c r="V909" s="325" t="s">
        <v>3260</v>
      </c>
      <c r="W909" t="str">
        <f>IFERROR(VLOOKUP(ROWS($W$3:W909),$U$3:$V$992,2,0),"")</f>
        <v>Hotely</v>
      </c>
      <c r="X909">
        <f>IF(ISNUMBER(SEARCH('1Př1'!$A$34,N909)),MAX($M$2:M908)+1,0)</f>
        <v>907</v>
      </c>
      <c r="Y909" s="325" t="s">
        <v>3260</v>
      </c>
      <c r="Z909" t="str">
        <f>IFERROR(VLOOKUP(ROWS($Z$3:Z909),$X$3:$Y$992,2,0),"")</f>
        <v>Hotely</v>
      </c>
    </row>
    <row r="910" spans="13:26">
      <c r="M910" s="324">
        <f>IF(ISNUMBER(SEARCH(ZAKL_DATA!$B$29,N910)),MAX($M$2:M909)+1,0)</f>
        <v>908</v>
      </c>
      <c r="N910" s="325" t="s">
        <v>3262</v>
      </c>
      <c r="O910" s="340" t="s">
        <v>3263</v>
      </c>
      <c r="Q910" s="327" t="str">
        <f>IFERROR(VLOOKUP(ROWS($Q$3:Q910),$M$3:$N$992,2,0),"")</f>
        <v>Motely, botely</v>
      </c>
      <c r="R910">
        <f>IF(ISNUMBER(SEARCH('1Př1'!$A$32,N910)),MAX($M$2:M909)+1,0)</f>
        <v>908</v>
      </c>
      <c r="S910" s="325" t="s">
        <v>3262</v>
      </c>
      <c r="T910" t="str">
        <f>IFERROR(VLOOKUP(ROWS($T$3:T910),$R$3:$S$992,2,0),"")</f>
        <v>Motely, botely</v>
      </c>
      <c r="U910">
        <f>IF(ISNUMBER(SEARCH('1Př1'!$A$33,N910)),MAX($M$2:M909)+1,0)</f>
        <v>908</v>
      </c>
      <c r="V910" s="325" t="s">
        <v>3262</v>
      </c>
      <c r="W910" t="str">
        <f>IFERROR(VLOOKUP(ROWS($W$3:W910),$U$3:$V$992,2,0),"")</f>
        <v>Motely, botely</v>
      </c>
      <c r="X910">
        <f>IF(ISNUMBER(SEARCH('1Př1'!$A$34,N910)),MAX($M$2:M909)+1,0)</f>
        <v>908</v>
      </c>
      <c r="Y910" s="325" t="s">
        <v>3262</v>
      </c>
      <c r="Z910" t="str">
        <f>IFERROR(VLOOKUP(ROWS($Z$3:Z910),$X$3:$Y$992,2,0),"")</f>
        <v>Motely, botely</v>
      </c>
    </row>
    <row r="911" spans="13:26">
      <c r="M911" s="324">
        <f>IF(ISNUMBER(SEARCH(ZAKL_DATA!$B$29,N911)),MAX($M$2:M910)+1,0)</f>
        <v>909</v>
      </c>
      <c r="N911" s="325" t="s">
        <v>3264</v>
      </c>
      <c r="O911" s="340" t="s">
        <v>3265</v>
      </c>
      <c r="Q911" s="327" t="str">
        <f>IFERROR(VLOOKUP(ROWS($Q$3:Q911),$M$3:$N$992,2,0),"")</f>
        <v>Ostatní podobná ubytovací zařízení</v>
      </c>
      <c r="R911">
        <f>IF(ISNUMBER(SEARCH('1Př1'!$A$32,N911)),MAX($M$2:M910)+1,0)</f>
        <v>909</v>
      </c>
      <c r="S911" s="325" t="s">
        <v>3264</v>
      </c>
      <c r="T911" t="str">
        <f>IFERROR(VLOOKUP(ROWS($T$3:T911),$R$3:$S$992,2,0),"")</f>
        <v>Ostatní podobná ubytovací zařízení</v>
      </c>
      <c r="U911">
        <f>IF(ISNUMBER(SEARCH('1Př1'!$A$33,N911)),MAX($M$2:M910)+1,0)</f>
        <v>909</v>
      </c>
      <c r="V911" s="325" t="s">
        <v>3264</v>
      </c>
      <c r="W911" t="str">
        <f>IFERROR(VLOOKUP(ROWS($W$3:W911),$U$3:$V$992,2,0),"")</f>
        <v>Ostatní podobná ubytovací zařízení</v>
      </c>
      <c r="X911">
        <f>IF(ISNUMBER(SEARCH('1Př1'!$A$34,N911)),MAX($M$2:M910)+1,0)</f>
        <v>909</v>
      </c>
      <c r="Y911" s="325" t="s">
        <v>3264</v>
      </c>
      <c r="Z911" t="str">
        <f>IFERROR(VLOOKUP(ROWS($Z$3:Z911),$X$3:$Y$992,2,0),"")</f>
        <v>Ostatní podobná ubytovací zařízení</v>
      </c>
    </row>
    <row r="912" spans="13:26">
      <c r="M912" s="324">
        <f>IF(ISNUMBER(SEARCH(ZAKL_DATA!$B$29,N912)),MAX($M$2:M911)+1,0)</f>
        <v>910</v>
      </c>
      <c r="N912" s="325" t="s">
        <v>3266</v>
      </c>
      <c r="O912" s="340" t="s">
        <v>3267</v>
      </c>
      <c r="Q912" s="327" t="str">
        <f>IFERROR(VLOOKUP(ROWS($Q$3:Q912),$M$3:$N$992,2,0),"")</f>
        <v>Ubytování v zařízených pronájmech</v>
      </c>
      <c r="R912">
        <f>IF(ISNUMBER(SEARCH('1Př1'!$A$32,N912)),MAX($M$2:M911)+1,0)</f>
        <v>910</v>
      </c>
      <c r="S912" s="325" t="s">
        <v>3266</v>
      </c>
      <c r="T912" t="str">
        <f>IFERROR(VLOOKUP(ROWS($T$3:T912),$R$3:$S$992,2,0),"")</f>
        <v>Ubytování v zařízených pronájmech</v>
      </c>
      <c r="U912">
        <f>IF(ISNUMBER(SEARCH('1Př1'!$A$33,N912)),MAX($M$2:M911)+1,0)</f>
        <v>910</v>
      </c>
      <c r="V912" s="325" t="s">
        <v>3266</v>
      </c>
      <c r="W912" t="str">
        <f>IFERROR(VLOOKUP(ROWS($W$3:W912),$U$3:$V$992,2,0),"")</f>
        <v>Ubytování v zařízených pronájmech</v>
      </c>
      <c r="X912">
        <f>IF(ISNUMBER(SEARCH('1Př1'!$A$34,N912)),MAX($M$2:M911)+1,0)</f>
        <v>910</v>
      </c>
      <c r="Y912" s="325" t="s">
        <v>3266</v>
      </c>
      <c r="Z912" t="str">
        <f>IFERROR(VLOOKUP(ROWS($Z$3:Z912),$X$3:$Y$992,2,0),"")</f>
        <v>Ubytování v zařízených pronájmech</v>
      </c>
    </row>
    <row r="913" spans="13:26">
      <c r="M913" s="324">
        <f>IF(ISNUMBER(SEARCH(ZAKL_DATA!$B$29,N913)),MAX($M$2:M912)+1,0)</f>
        <v>911</v>
      </c>
      <c r="N913" s="325" t="s">
        <v>3268</v>
      </c>
      <c r="O913" s="340" t="s">
        <v>3269</v>
      </c>
      <c r="Q913" s="327" t="str">
        <f>IFERROR(VLOOKUP(ROWS($Q$3:Q913),$M$3:$N$992,2,0),"")</f>
        <v>Ubytování ve vysokoškolských kolejích, domovech mládeže</v>
      </c>
      <c r="R913">
        <f>IF(ISNUMBER(SEARCH('1Př1'!$A$32,N913)),MAX($M$2:M912)+1,0)</f>
        <v>911</v>
      </c>
      <c r="S913" s="325" t="s">
        <v>3268</v>
      </c>
      <c r="T913" t="str">
        <f>IFERROR(VLOOKUP(ROWS($T$3:T913),$R$3:$S$992,2,0),"")</f>
        <v>Ubytování ve vysokoškolských kolejích, domovech mládeže</v>
      </c>
      <c r="U913">
        <f>IF(ISNUMBER(SEARCH('1Př1'!$A$33,N913)),MAX($M$2:M912)+1,0)</f>
        <v>911</v>
      </c>
      <c r="V913" s="325" t="s">
        <v>3268</v>
      </c>
      <c r="W913" t="str">
        <f>IFERROR(VLOOKUP(ROWS($W$3:W913),$U$3:$V$992,2,0),"")</f>
        <v>Ubytování ve vysokoškolských kolejích, domovech mládeže</v>
      </c>
      <c r="X913">
        <f>IF(ISNUMBER(SEARCH('1Př1'!$A$34,N913)),MAX($M$2:M912)+1,0)</f>
        <v>911</v>
      </c>
      <c r="Y913" s="325" t="s">
        <v>3268</v>
      </c>
      <c r="Z913" t="str">
        <f>IFERROR(VLOOKUP(ROWS($Z$3:Z913),$X$3:$Y$992,2,0),"")</f>
        <v>Ubytování ve vysokoškolských kolejích, domovech mládeže</v>
      </c>
    </row>
    <row r="914" spans="13:26">
      <c r="M914" s="324">
        <f>IF(ISNUMBER(SEARCH(ZAKL_DATA!$B$29,N914)),MAX($M$2:M913)+1,0)</f>
        <v>912</v>
      </c>
      <c r="N914" s="325" t="s">
        <v>3270</v>
      </c>
      <c r="O914" s="340" t="s">
        <v>3271</v>
      </c>
      <c r="Q914" s="327" t="str">
        <f>IFERROR(VLOOKUP(ROWS($Q$3:Q914),$M$3:$N$992,2,0),"")</f>
        <v>Ostatní ubytování j. n.</v>
      </c>
      <c r="R914">
        <f>IF(ISNUMBER(SEARCH('1Př1'!$A$32,N914)),MAX($M$2:M913)+1,0)</f>
        <v>912</v>
      </c>
      <c r="S914" s="325" t="s">
        <v>3270</v>
      </c>
      <c r="T914" t="str">
        <f>IFERROR(VLOOKUP(ROWS($T$3:T914),$R$3:$S$992,2,0),"")</f>
        <v>Ostatní ubytování j. n.</v>
      </c>
      <c r="U914">
        <f>IF(ISNUMBER(SEARCH('1Př1'!$A$33,N914)),MAX($M$2:M913)+1,0)</f>
        <v>912</v>
      </c>
      <c r="V914" s="325" t="s">
        <v>3270</v>
      </c>
      <c r="W914" t="str">
        <f>IFERROR(VLOOKUP(ROWS($W$3:W914),$U$3:$V$992,2,0),"")</f>
        <v>Ostatní ubytování j. n.</v>
      </c>
      <c r="X914">
        <f>IF(ISNUMBER(SEARCH('1Př1'!$A$34,N914)),MAX($M$2:M913)+1,0)</f>
        <v>912</v>
      </c>
      <c r="Y914" s="325" t="s">
        <v>3270</v>
      </c>
      <c r="Z914" t="str">
        <f>IFERROR(VLOOKUP(ROWS($Z$3:Z914),$X$3:$Y$992,2,0),"")</f>
        <v>Ostatní ubytování j. n.</v>
      </c>
    </row>
    <row r="915" spans="13:26">
      <c r="M915" s="324">
        <f>IF(ISNUMBER(SEARCH(ZAKL_DATA!$B$29,N915)),MAX($M$2:M914)+1,0)</f>
        <v>913</v>
      </c>
      <c r="N915" s="325" t="s">
        <v>3272</v>
      </c>
      <c r="O915" s="340" t="s">
        <v>3273</v>
      </c>
      <c r="Q915" s="327" t="str">
        <f>IFERROR(VLOOKUP(ROWS($Q$3:Q915),$M$3:$N$992,2,0),"")</f>
        <v>Stravování v závodních kuchyních</v>
      </c>
      <c r="R915">
        <f>IF(ISNUMBER(SEARCH('1Př1'!$A$32,N915)),MAX($M$2:M914)+1,0)</f>
        <v>913</v>
      </c>
      <c r="S915" s="325" t="s">
        <v>3272</v>
      </c>
      <c r="T915" t="str">
        <f>IFERROR(VLOOKUP(ROWS($T$3:T915),$R$3:$S$992,2,0),"")</f>
        <v>Stravování v závodních kuchyních</v>
      </c>
      <c r="U915">
        <f>IF(ISNUMBER(SEARCH('1Př1'!$A$33,N915)),MAX($M$2:M914)+1,0)</f>
        <v>913</v>
      </c>
      <c r="V915" s="325" t="s">
        <v>3272</v>
      </c>
      <c r="W915" t="str">
        <f>IFERROR(VLOOKUP(ROWS($W$3:W915),$U$3:$V$992,2,0),"")</f>
        <v>Stravování v závodních kuchyních</v>
      </c>
      <c r="X915">
        <f>IF(ISNUMBER(SEARCH('1Př1'!$A$34,N915)),MAX($M$2:M914)+1,0)</f>
        <v>913</v>
      </c>
      <c r="Y915" s="325" t="s">
        <v>3272</v>
      </c>
      <c r="Z915" t="str">
        <f>IFERROR(VLOOKUP(ROWS($Z$3:Z915),$X$3:$Y$992,2,0),"")</f>
        <v>Stravování v závodních kuchyních</v>
      </c>
    </row>
    <row r="916" spans="13:26">
      <c r="M916" s="324">
        <f>IF(ISNUMBER(SEARCH(ZAKL_DATA!$B$29,N916)),MAX($M$2:M915)+1,0)</f>
        <v>914</v>
      </c>
      <c r="N916" s="325" t="s">
        <v>3274</v>
      </c>
      <c r="O916" s="340" t="s">
        <v>3275</v>
      </c>
      <c r="Q916" s="327" t="str">
        <f>IFERROR(VLOOKUP(ROWS($Q$3:Q916),$M$3:$N$992,2,0),"")</f>
        <v>Stravování ve školních zařízeních, menzách</v>
      </c>
      <c r="R916">
        <f>IF(ISNUMBER(SEARCH('1Př1'!$A$32,N916)),MAX($M$2:M915)+1,0)</f>
        <v>914</v>
      </c>
      <c r="S916" s="325" t="s">
        <v>3274</v>
      </c>
      <c r="T916" t="str">
        <f>IFERROR(VLOOKUP(ROWS($T$3:T916),$R$3:$S$992,2,0),"")</f>
        <v>Stravování ve školních zařízeních, menzách</v>
      </c>
      <c r="U916">
        <f>IF(ISNUMBER(SEARCH('1Př1'!$A$33,N916)),MAX($M$2:M915)+1,0)</f>
        <v>914</v>
      </c>
      <c r="V916" s="325" t="s">
        <v>3274</v>
      </c>
      <c r="W916" t="str">
        <f>IFERROR(VLOOKUP(ROWS($W$3:W916),$U$3:$V$992,2,0),"")</f>
        <v>Stravování ve školních zařízeních, menzách</v>
      </c>
      <c r="X916">
        <f>IF(ISNUMBER(SEARCH('1Př1'!$A$34,N916)),MAX($M$2:M915)+1,0)</f>
        <v>914</v>
      </c>
      <c r="Y916" s="325" t="s">
        <v>3274</v>
      </c>
      <c r="Z916" t="str">
        <f>IFERROR(VLOOKUP(ROWS($Z$3:Z916),$X$3:$Y$992,2,0),"")</f>
        <v>Stravování ve školních zařízeních, menzách</v>
      </c>
    </row>
    <row r="917" spans="13:26">
      <c r="M917" s="324">
        <f>IF(ISNUMBER(SEARCH(ZAKL_DATA!$B$29,N917)),MAX($M$2:M916)+1,0)</f>
        <v>915</v>
      </c>
      <c r="N917" s="325" t="s">
        <v>3276</v>
      </c>
      <c r="O917" s="340" t="s">
        <v>3277</v>
      </c>
      <c r="Q917" s="327" t="str">
        <f>IFERROR(VLOOKUP(ROWS($Q$3:Q917),$M$3:$N$992,2,0),"")</f>
        <v>Poskytování jiných stravovacích služeb j. n.</v>
      </c>
      <c r="R917">
        <f>IF(ISNUMBER(SEARCH('1Př1'!$A$32,N917)),MAX($M$2:M916)+1,0)</f>
        <v>915</v>
      </c>
      <c r="S917" s="325" t="s">
        <v>3276</v>
      </c>
      <c r="T917" t="str">
        <f>IFERROR(VLOOKUP(ROWS($T$3:T917),$R$3:$S$992,2,0),"")</f>
        <v>Poskytování jiných stravovacích služeb j. n.</v>
      </c>
      <c r="U917">
        <f>IF(ISNUMBER(SEARCH('1Př1'!$A$33,N917)),MAX($M$2:M916)+1,0)</f>
        <v>915</v>
      </c>
      <c r="V917" s="325" t="s">
        <v>3276</v>
      </c>
      <c r="W917" t="str">
        <f>IFERROR(VLOOKUP(ROWS($W$3:W917),$U$3:$V$992,2,0),"")</f>
        <v>Poskytování jiných stravovacích služeb j. n.</v>
      </c>
      <c r="X917">
        <f>IF(ISNUMBER(SEARCH('1Př1'!$A$34,N917)),MAX($M$2:M916)+1,0)</f>
        <v>915</v>
      </c>
      <c r="Y917" s="325" t="s">
        <v>3276</v>
      </c>
      <c r="Z917" t="str">
        <f>IFERROR(VLOOKUP(ROWS($Z$3:Z917),$X$3:$Y$992,2,0),"")</f>
        <v>Poskytování jiných stravovacích služeb j. n.</v>
      </c>
    </row>
    <row r="918" spans="13:26">
      <c r="M918" s="324">
        <f>IF(ISNUMBER(SEARCH(ZAKL_DATA!$B$29,N918)),MAX($M$2:M917)+1,0)</f>
        <v>916</v>
      </c>
      <c r="N918" s="325" t="s">
        <v>3278</v>
      </c>
      <c r="O918" s="340" t="s">
        <v>3279</v>
      </c>
      <c r="Q918" s="327" t="str">
        <f>IFERROR(VLOOKUP(ROWS($Q$3:Q918),$M$3:$N$992,2,0),"")</f>
        <v>Poskytování hlasových služeb přes pevnou telekomunikační síť</v>
      </c>
      <c r="R918">
        <f>IF(ISNUMBER(SEARCH('1Př1'!$A$32,N918)),MAX($M$2:M917)+1,0)</f>
        <v>916</v>
      </c>
      <c r="S918" s="325" t="s">
        <v>3278</v>
      </c>
      <c r="T918" t="str">
        <f>IFERROR(VLOOKUP(ROWS($T$3:T918),$R$3:$S$992,2,0),"")</f>
        <v>Poskytování hlasových služeb přes pevnou telekomunikační síť</v>
      </c>
      <c r="U918">
        <f>IF(ISNUMBER(SEARCH('1Př1'!$A$33,N918)),MAX($M$2:M917)+1,0)</f>
        <v>916</v>
      </c>
      <c r="V918" s="325" t="s">
        <v>3278</v>
      </c>
      <c r="W918" t="str">
        <f>IFERROR(VLOOKUP(ROWS($W$3:W918),$U$3:$V$992,2,0),"")</f>
        <v>Poskytování hlasových služeb přes pevnou telekomunikační síť</v>
      </c>
      <c r="X918">
        <f>IF(ISNUMBER(SEARCH('1Př1'!$A$34,N918)),MAX($M$2:M917)+1,0)</f>
        <v>916</v>
      </c>
      <c r="Y918" s="325" t="s">
        <v>3278</v>
      </c>
      <c r="Z918" t="str">
        <f>IFERROR(VLOOKUP(ROWS($Z$3:Z918),$X$3:$Y$992,2,0),"")</f>
        <v>Poskytování hlasových služeb přes pevnou telekomunikační síť</v>
      </c>
    </row>
    <row r="919" spans="13:26">
      <c r="M919" s="324">
        <f>IF(ISNUMBER(SEARCH(ZAKL_DATA!$B$29,N919)),MAX($M$2:M918)+1,0)</f>
        <v>917</v>
      </c>
      <c r="N919" s="325" t="s">
        <v>3280</v>
      </c>
      <c r="O919" s="340" t="s">
        <v>3281</v>
      </c>
      <c r="Q919" s="327" t="str">
        <f>IFERROR(VLOOKUP(ROWS($Q$3:Q919),$M$3:$N$992,2,0),"")</f>
        <v>Pronájem pevné telekomunikační sítě</v>
      </c>
      <c r="R919">
        <f>IF(ISNUMBER(SEARCH('1Př1'!$A$32,N919)),MAX($M$2:M918)+1,0)</f>
        <v>917</v>
      </c>
      <c r="S919" s="325" t="s">
        <v>3280</v>
      </c>
      <c r="T919" t="str">
        <f>IFERROR(VLOOKUP(ROWS($T$3:T919),$R$3:$S$992,2,0),"")</f>
        <v>Pronájem pevné telekomunikační sítě</v>
      </c>
      <c r="U919">
        <f>IF(ISNUMBER(SEARCH('1Př1'!$A$33,N919)),MAX($M$2:M918)+1,0)</f>
        <v>917</v>
      </c>
      <c r="V919" s="325" t="s">
        <v>3280</v>
      </c>
      <c r="W919" t="str">
        <f>IFERROR(VLOOKUP(ROWS($W$3:W919),$U$3:$V$992,2,0),"")</f>
        <v>Pronájem pevné telekomunikační sítě</v>
      </c>
      <c r="X919">
        <f>IF(ISNUMBER(SEARCH('1Př1'!$A$34,N919)),MAX($M$2:M918)+1,0)</f>
        <v>917</v>
      </c>
      <c r="Y919" s="325" t="s">
        <v>3280</v>
      </c>
      <c r="Z919" t="str">
        <f>IFERROR(VLOOKUP(ROWS($Z$3:Z919),$X$3:$Y$992,2,0),"")</f>
        <v>Pronájem pevné telekomunikační sítě</v>
      </c>
    </row>
    <row r="920" spans="13:26">
      <c r="M920" s="324">
        <f>IF(ISNUMBER(SEARCH(ZAKL_DATA!$B$29,N920)),MAX($M$2:M919)+1,0)</f>
        <v>918</v>
      </c>
      <c r="N920" s="325" t="s">
        <v>3282</v>
      </c>
      <c r="O920" s="340" t="s">
        <v>3283</v>
      </c>
      <c r="Q920" s="327" t="str">
        <f>IFERROR(VLOOKUP(ROWS($Q$3:Q920),$M$3:$N$992,2,0),"")</f>
        <v>Přenos dat přes pevnou telekomunikační síť</v>
      </c>
      <c r="R920">
        <f>IF(ISNUMBER(SEARCH('1Př1'!$A$32,N920)),MAX($M$2:M919)+1,0)</f>
        <v>918</v>
      </c>
      <c r="S920" s="325" t="s">
        <v>3282</v>
      </c>
      <c r="T920" t="str">
        <f>IFERROR(VLOOKUP(ROWS($T$3:T920),$R$3:$S$992,2,0),"")</f>
        <v>Přenos dat přes pevnou telekomunikační síť</v>
      </c>
      <c r="U920">
        <f>IF(ISNUMBER(SEARCH('1Př1'!$A$33,N920)),MAX($M$2:M919)+1,0)</f>
        <v>918</v>
      </c>
      <c r="V920" s="325" t="s">
        <v>3282</v>
      </c>
      <c r="W920" t="str">
        <f>IFERROR(VLOOKUP(ROWS($W$3:W920),$U$3:$V$992,2,0),"")</f>
        <v>Přenos dat přes pevnou telekomunikační síť</v>
      </c>
      <c r="X920">
        <f>IF(ISNUMBER(SEARCH('1Př1'!$A$34,N920)),MAX($M$2:M919)+1,0)</f>
        <v>918</v>
      </c>
      <c r="Y920" s="325" t="s">
        <v>3282</v>
      </c>
      <c r="Z920" t="str">
        <f>IFERROR(VLOOKUP(ROWS($Z$3:Z920),$X$3:$Y$992,2,0),"")</f>
        <v>Přenos dat přes pevnou telekomunikační síť</v>
      </c>
    </row>
    <row r="921" spans="13:26">
      <c r="M921" s="324">
        <f>IF(ISNUMBER(SEARCH(ZAKL_DATA!$B$29,N921)),MAX($M$2:M920)+1,0)</f>
        <v>919</v>
      </c>
      <c r="N921" s="325" t="s">
        <v>3284</v>
      </c>
      <c r="O921" s="340" t="s">
        <v>3285</v>
      </c>
      <c r="Q921" s="327" t="str">
        <f>IFERROR(VLOOKUP(ROWS($Q$3:Q921),$M$3:$N$992,2,0),"")</f>
        <v>Poskytování přístupu k internetu přes pevnou telekomunikační síť</v>
      </c>
      <c r="R921">
        <f>IF(ISNUMBER(SEARCH('1Př1'!$A$32,N921)),MAX($M$2:M920)+1,0)</f>
        <v>919</v>
      </c>
      <c r="S921" s="325" t="s">
        <v>3284</v>
      </c>
      <c r="T921" t="str">
        <f>IFERROR(VLOOKUP(ROWS($T$3:T921),$R$3:$S$992,2,0),"")</f>
        <v>Poskytování přístupu k internetu přes pevnou telekomunikační síť</v>
      </c>
      <c r="U921">
        <f>IF(ISNUMBER(SEARCH('1Př1'!$A$33,N921)),MAX($M$2:M920)+1,0)</f>
        <v>919</v>
      </c>
      <c r="V921" s="325" t="s">
        <v>3284</v>
      </c>
      <c r="W921" t="str">
        <f>IFERROR(VLOOKUP(ROWS($W$3:W921),$U$3:$V$992,2,0),"")</f>
        <v>Poskytování přístupu k internetu přes pevnou telekomunikační síť</v>
      </c>
      <c r="X921">
        <f>IF(ISNUMBER(SEARCH('1Př1'!$A$34,N921)),MAX($M$2:M920)+1,0)</f>
        <v>919</v>
      </c>
      <c r="Y921" s="325" t="s">
        <v>3284</v>
      </c>
      <c r="Z921" t="str">
        <f>IFERROR(VLOOKUP(ROWS($Z$3:Z921),$X$3:$Y$992,2,0),"")</f>
        <v>Poskytování přístupu k internetu přes pevnou telekomunikační síť</v>
      </c>
    </row>
    <row r="922" spans="13:26">
      <c r="M922" s="324">
        <f>IF(ISNUMBER(SEARCH(ZAKL_DATA!$B$29,N922)),MAX($M$2:M921)+1,0)</f>
        <v>920</v>
      </c>
      <c r="N922" s="325" t="s">
        <v>3286</v>
      </c>
      <c r="O922" s="340" t="s">
        <v>3287</v>
      </c>
      <c r="Q922" s="327" t="str">
        <f>IFERROR(VLOOKUP(ROWS($Q$3:Q922),$M$3:$N$992,2,0),"")</f>
        <v>Ostatní činnosti související s pevnou telekomunikační sítí</v>
      </c>
      <c r="R922">
        <f>IF(ISNUMBER(SEARCH('1Př1'!$A$32,N922)),MAX($M$2:M921)+1,0)</f>
        <v>920</v>
      </c>
      <c r="S922" s="325" t="s">
        <v>3286</v>
      </c>
      <c r="T922" t="str">
        <f>IFERROR(VLOOKUP(ROWS($T$3:T922),$R$3:$S$992,2,0),"")</f>
        <v>Ostatní činnosti související s pevnou telekomunikační sítí</v>
      </c>
      <c r="U922">
        <f>IF(ISNUMBER(SEARCH('1Př1'!$A$33,N922)),MAX($M$2:M921)+1,0)</f>
        <v>920</v>
      </c>
      <c r="V922" s="325" t="s">
        <v>3286</v>
      </c>
      <c r="W922" t="str">
        <f>IFERROR(VLOOKUP(ROWS($W$3:W922),$U$3:$V$992,2,0),"")</f>
        <v>Ostatní činnosti související s pevnou telekomunikační sítí</v>
      </c>
      <c r="X922">
        <f>IF(ISNUMBER(SEARCH('1Př1'!$A$34,N922)),MAX($M$2:M921)+1,0)</f>
        <v>920</v>
      </c>
      <c r="Y922" s="325" t="s">
        <v>3286</v>
      </c>
      <c r="Z922" t="str">
        <f>IFERROR(VLOOKUP(ROWS($Z$3:Z922),$X$3:$Y$992,2,0),"")</f>
        <v>Ostatní činnosti související s pevnou telekomunikační sítí</v>
      </c>
    </row>
    <row r="923" spans="13:26">
      <c r="M923" s="324">
        <f>IF(ISNUMBER(SEARCH(ZAKL_DATA!$B$29,N923)),MAX($M$2:M922)+1,0)</f>
        <v>921</v>
      </c>
      <c r="N923" s="325" t="s">
        <v>3288</v>
      </c>
      <c r="O923" s="340" t="s">
        <v>3289</v>
      </c>
      <c r="Q923" s="327" t="str">
        <f>IFERROR(VLOOKUP(ROWS($Q$3:Q923),$M$3:$N$992,2,0),"")</f>
        <v>Poskytování hlasových služeb přes bezdrátovou telekomunikační síť</v>
      </c>
      <c r="R923">
        <f>IF(ISNUMBER(SEARCH('1Př1'!$A$32,N923)),MAX($M$2:M922)+1,0)</f>
        <v>921</v>
      </c>
      <c r="S923" s="325" t="s">
        <v>3288</v>
      </c>
      <c r="T923" t="str">
        <f>IFERROR(VLOOKUP(ROWS($T$3:T923),$R$3:$S$992,2,0),"")</f>
        <v>Poskytování hlasových služeb přes bezdrátovou telekomunikační síť</v>
      </c>
      <c r="U923">
        <f>IF(ISNUMBER(SEARCH('1Př1'!$A$33,N923)),MAX($M$2:M922)+1,0)</f>
        <v>921</v>
      </c>
      <c r="V923" s="325" t="s">
        <v>3288</v>
      </c>
      <c r="W923" t="str">
        <f>IFERROR(VLOOKUP(ROWS($W$3:W923),$U$3:$V$992,2,0),"")</f>
        <v>Poskytování hlasových služeb přes bezdrátovou telekomunikační síť</v>
      </c>
      <c r="X923">
        <f>IF(ISNUMBER(SEARCH('1Př1'!$A$34,N923)),MAX($M$2:M922)+1,0)</f>
        <v>921</v>
      </c>
      <c r="Y923" s="325" t="s">
        <v>3288</v>
      </c>
      <c r="Z923" t="str">
        <f>IFERROR(VLOOKUP(ROWS($Z$3:Z923),$X$3:$Y$992,2,0),"")</f>
        <v>Poskytování hlasových služeb přes bezdrátovou telekomunikační síť</v>
      </c>
    </row>
    <row r="924" spans="13:26">
      <c r="M924" s="324">
        <f>IF(ISNUMBER(SEARCH(ZAKL_DATA!$B$29,N924)),MAX($M$2:M923)+1,0)</f>
        <v>922</v>
      </c>
      <c r="N924" s="325" t="s">
        <v>3290</v>
      </c>
      <c r="O924" s="340" t="s">
        <v>3291</v>
      </c>
      <c r="Q924" s="327" t="str">
        <f>IFERROR(VLOOKUP(ROWS($Q$3:Q924),$M$3:$N$992,2,0),"")</f>
        <v>Pronájem bezdrátové telekomunikační sítě</v>
      </c>
      <c r="R924">
        <f>IF(ISNUMBER(SEARCH('1Př1'!$A$32,N924)),MAX($M$2:M923)+1,0)</f>
        <v>922</v>
      </c>
      <c r="S924" s="325" t="s">
        <v>3290</v>
      </c>
      <c r="T924" t="str">
        <f>IFERROR(VLOOKUP(ROWS($T$3:T924),$R$3:$S$992,2,0),"")</f>
        <v>Pronájem bezdrátové telekomunikační sítě</v>
      </c>
      <c r="U924">
        <f>IF(ISNUMBER(SEARCH('1Př1'!$A$33,N924)),MAX($M$2:M923)+1,0)</f>
        <v>922</v>
      </c>
      <c r="V924" s="325" t="s">
        <v>3290</v>
      </c>
      <c r="W924" t="str">
        <f>IFERROR(VLOOKUP(ROWS($W$3:W924),$U$3:$V$992,2,0),"")</f>
        <v>Pronájem bezdrátové telekomunikační sítě</v>
      </c>
      <c r="X924">
        <f>IF(ISNUMBER(SEARCH('1Př1'!$A$34,N924)),MAX($M$2:M923)+1,0)</f>
        <v>922</v>
      </c>
      <c r="Y924" s="325" t="s">
        <v>3290</v>
      </c>
      <c r="Z924" t="str">
        <f>IFERROR(VLOOKUP(ROWS($Z$3:Z924),$X$3:$Y$992,2,0),"")</f>
        <v>Pronájem bezdrátové telekomunikační sítě</v>
      </c>
    </row>
    <row r="925" spans="13:26">
      <c r="M925" s="324">
        <f>IF(ISNUMBER(SEARCH(ZAKL_DATA!$B$29,N925)),MAX($M$2:M924)+1,0)</f>
        <v>923</v>
      </c>
      <c r="N925" s="325" t="s">
        <v>3292</v>
      </c>
      <c r="O925" s="340" t="s">
        <v>3293</v>
      </c>
      <c r="Q925" s="327" t="str">
        <f>IFERROR(VLOOKUP(ROWS($Q$3:Q925),$M$3:$N$992,2,0),"")</f>
        <v>Přenos dat přes bezdrátovou telekomunikační síť</v>
      </c>
      <c r="R925">
        <f>IF(ISNUMBER(SEARCH('1Př1'!$A$32,N925)),MAX($M$2:M924)+1,0)</f>
        <v>923</v>
      </c>
      <c r="S925" s="325" t="s">
        <v>3292</v>
      </c>
      <c r="T925" t="str">
        <f>IFERROR(VLOOKUP(ROWS($T$3:T925),$R$3:$S$992,2,0),"")</f>
        <v>Přenos dat přes bezdrátovou telekomunikační síť</v>
      </c>
      <c r="U925">
        <f>IF(ISNUMBER(SEARCH('1Př1'!$A$33,N925)),MAX($M$2:M924)+1,0)</f>
        <v>923</v>
      </c>
      <c r="V925" s="325" t="s">
        <v>3292</v>
      </c>
      <c r="W925" t="str">
        <f>IFERROR(VLOOKUP(ROWS($W$3:W925),$U$3:$V$992,2,0),"")</f>
        <v>Přenos dat přes bezdrátovou telekomunikační síť</v>
      </c>
      <c r="X925">
        <f>IF(ISNUMBER(SEARCH('1Př1'!$A$34,N925)),MAX($M$2:M924)+1,0)</f>
        <v>923</v>
      </c>
      <c r="Y925" s="325" t="s">
        <v>3292</v>
      </c>
      <c r="Z925" t="str">
        <f>IFERROR(VLOOKUP(ROWS($Z$3:Z925),$X$3:$Y$992,2,0),"")</f>
        <v>Přenos dat přes bezdrátovou telekomunikační síť</v>
      </c>
    </row>
    <row r="926" spans="13:26">
      <c r="M926" s="324">
        <f>IF(ISNUMBER(SEARCH(ZAKL_DATA!$B$29,N926)),MAX($M$2:M925)+1,0)</f>
        <v>924</v>
      </c>
      <c r="N926" s="325" t="s">
        <v>3294</v>
      </c>
      <c r="O926" s="340" t="s">
        <v>3295</v>
      </c>
      <c r="Q926" s="327" t="str">
        <f>IFERROR(VLOOKUP(ROWS($Q$3:Q926),$M$3:$N$992,2,0),"")</f>
        <v>Poskytování přístupu k internetu přes bezdrátovou telekomunikační síť</v>
      </c>
      <c r="R926">
        <f>IF(ISNUMBER(SEARCH('1Př1'!$A$32,N926)),MAX($M$2:M925)+1,0)</f>
        <v>924</v>
      </c>
      <c r="S926" s="325" t="s">
        <v>3294</v>
      </c>
      <c r="T926" t="str">
        <f>IFERROR(VLOOKUP(ROWS($T$3:T926),$R$3:$S$992,2,0),"")</f>
        <v>Poskytování přístupu k internetu přes bezdrátovou telekomunikační síť</v>
      </c>
      <c r="U926">
        <f>IF(ISNUMBER(SEARCH('1Př1'!$A$33,N926)),MAX($M$2:M925)+1,0)</f>
        <v>924</v>
      </c>
      <c r="V926" s="325" t="s">
        <v>3294</v>
      </c>
      <c r="W926" t="str">
        <f>IFERROR(VLOOKUP(ROWS($W$3:W926),$U$3:$V$992,2,0),"")</f>
        <v>Poskytování přístupu k internetu přes bezdrátovou telekomunikační síť</v>
      </c>
      <c r="X926">
        <f>IF(ISNUMBER(SEARCH('1Př1'!$A$34,N926)),MAX($M$2:M925)+1,0)</f>
        <v>924</v>
      </c>
      <c r="Y926" s="325" t="s">
        <v>3294</v>
      </c>
      <c r="Z926" t="str">
        <f>IFERROR(VLOOKUP(ROWS($Z$3:Z926),$X$3:$Y$992,2,0),"")</f>
        <v>Poskytování přístupu k internetu přes bezdrátovou telekomunikační síť</v>
      </c>
    </row>
    <row r="927" spans="13:26">
      <c r="M927" s="324">
        <f>IF(ISNUMBER(SEARCH(ZAKL_DATA!$B$29,N927)),MAX($M$2:M926)+1,0)</f>
        <v>925</v>
      </c>
      <c r="N927" s="325" t="s">
        <v>3296</v>
      </c>
      <c r="O927" s="340" t="s">
        <v>3297</v>
      </c>
      <c r="Q927" s="327" t="str">
        <f>IFERROR(VLOOKUP(ROWS($Q$3:Q927),$M$3:$N$992,2,0),"")</f>
        <v>Ostatní činnosti související s bezdrátovou telekomunikační sítí</v>
      </c>
      <c r="R927">
        <f>IF(ISNUMBER(SEARCH('1Př1'!$A$32,N927)),MAX($M$2:M926)+1,0)</f>
        <v>925</v>
      </c>
      <c r="S927" s="325" t="s">
        <v>3296</v>
      </c>
      <c r="T927" t="str">
        <f>IFERROR(VLOOKUP(ROWS($T$3:T927),$R$3:$S$992,2,0),"")</f>
        <v>Ostatní činnosti související s bezdrátovou telekomunikační sítí</v>
      </c>
      <c r="U927">
        <f>IF(ISNUMBER(SEARCH('1Př1'!$A$33,N927)),MAX($M$2:M926)+1,0)</f>
        <v>925</v>
      </c>
      <c r="V927" s="325" t="s">
        <v>3296</v>
      </c>
      <c r="W927" t="str">
        <f>IFERROR(VLOOKUP(ROWS($W$3:W927),$U$3:$V$992,2,0),"")</f>
        <v>Ostatní činnosti související s bezdrátovou telekomunikační sítí</v>
      </c>
      <c r="X927">
        <f>IF(ISNUMBER(SEARCH('1Př1'!$A$34,N927)),MAX($M$2:M926)+1,0)</f>
        <v>925</v>
      </c>
      <c r="Y927" s="325" t="s">
        <v>3296</v>
      </c>
      <c r="Z927" t="str">
        <f>IFERROR(VLOOKUP(ROWS($Z$3:Z927),$X$3:$Y$992,2,0),"")</f>
        <v>Ostatní činnosti související s bezdrátovou telekomunikační sítí</v>
      </c>
    </row>
    <row r="928" spans="13:26">
      <c r="M928" s="324">
        <f>IF(ISNUMBER(SEARCH(ZAKL_DATA!$B$29,N928)),MAX($M$2:M927)+1,0)</f>
        <v>926</v>
      </c>
      <c r="N928" s="325" t="s">
        <v>3298</v>
      </c>
      <c r="O928" s="340" t="s">
        <v>3299</v>
      </c>
      <c r="Q928" s="327" t="str">
        <f>IFERROR(VLOOKUP(ROWS($Q$3:Q928),$M$3:$N$992,2,0),"")</f>
        <v>Poskytování úvěrů společnostmi, které nepřijímají vklady</v>
      </c>
      <c r="R928">
        <f>IF(ISNUMBER(SEARCH('1Př1'!$A$32,N928)),MAX($M$2:M927)+1,0)</f>
        <v>926</v>
      </c>
      <c r="S928" s="325" t="s">
        <v>3298</v>
      </c>
      <c r="T928" t="str">
        <f>IFERROR(VLOOKUP(ROWS($T$3:T928),$R$3:$S$992,2,0),"")</f>
        <v>Poskytování úvěrů společnostmi, které nepřijímají vklady</v>
      </c>
      <c r="U928">
        <f>IF(ISNUMBER(SEARCH('1Př1'!$A$33,N928)),MAX($M$2:M927)+1,0)</f>
        <v>926</v>
      </c>
      <c r="V928" s="325" t="s">
        <v>3298</v>
      </c>
      <c r="W928" t="str">
        <f>IFERROR(VLOOKUP(ROWS($W$3:W928),$U$3:$V$992,2,0),"")</f>
        <v>Poskytování úvěrů společnostmi, které nepřijímají vklady</v>
      </c>
      <c r="X928">
        <f>IF(ISNUMBER(SEARCH('1Př1'!$A$34,N928)),MAX($M$2:M927)+1,0)</f>
        <v>926</v>
      </c>
      <c r="Y928" s="325" t="s">
        <v>3298</v>
      </c>
      <c r="Z928" t="str">
        <f>IFERROR(VLOOKUP(ROWS($Z$3:Z928),$X$3:$Y$992,2,0),"")</f>
        <v>Poskytování úvěrů společnostmi, které nepřijímají vklady</v>
      </c>
    </row>
    <row r="929" spans="13:26">
      <c r="M929" s="324">
        <f>IF(ISNUMBER(SEARCH(ZAKL_DATA!$B$29,N929)),MAX($M$2:M928)+1,0)</f>
        <v>927</v>
      </c>
      <c r="N929" s="325" t="s">
        <v>3300</v>
      </c>
      <c r="O929" s="340" t="s">
        <v>3301</v>
      </c>
      <c r="Q929" s="327" t="str">
        <f>IFERROR(VLOOKUP(ROWS($Q$3:Q929),$M$3:$N$992,2,0),"")</f>
        <v>Poskytování obchodních úvěrů</v>
      </c>
      <c r="R929">
        <f>IF(ISNUMBER(SEARCH('1Př1'!$A$32,N929)),MAX($M$2:M928)+1,0)</f>
        <v>927</v>
      </c>
      <c r="S929" s="325" t="s">
        <v>3300</v>
      </c>
      <c r="T929" t="str">
        <f>IFERROR(VLOOKUP(ROWS($T$3:T929),$R$3:$S$992,2,0),"")</f>
        <v>Poskytování obchodních úvěrů</v>
      </c>
      <c r="U929">
        <f>IF(ISNUMBER(SEARCH('1Př1'!$A$33,N929)),MAX($M$2:M928)+1,0)</f>
        <v>927</v>
      </c>
      <c r="V929" s="325" t="s">
        <v>3300</v>
      </c>
      <c r="W929" t="str">
        <f>IFERROR(VLOOKUP(ROWS($W$3:W929),$U$3:$V$992,2,0),"")</f>
        <v>Poskytování obchodních úvěrů</v>
      </c>
      <c r="X929">
        <f>IF(ISNUMBER(SEARCH('1Př1'!$A$34,N929)),MAX($M$2:M928)+1,0)</f>
        <v>927</v>
      </c>
      <c r="Y929" s="325" t="s">
        <v>3300</v>
      </c>
      <c r="Z929" t="str">
        <f>IFERROR(VLOOKUP(ROWS($Z$3:Z929),$X$3:$Y$992,2,0),"")</f>
        <v>Poskytování obchodních úvěrů</v>
      </c>
    </row>
    <row r="930" spans="13:26">
      <c r="M930" s="324">
        <f>IF(ISNUMBER(SEARCH(ZAKL_DATA!$B$29,N930)),MAX($M$2:M929)+1,0)</f>
        <v>928</v>
      </c>
      <c r="N930" s="325" t="s">
        <v>3302</v>
      </c>
      <c r="O930" s="340" t="s">
        <v>3303</v>
      </c>
      <c r="Q930" s="327" t="str">
        <f>IFERROR(VLOOKUP(ROWS($Q$3:Q930),$M$3:$N$992,2,0),"")</f>
        <v>Činnosti zastaváren</v>
      </c>
      <c r="R930">
        <f>IF(ISNUMBER(SEARCH('1Př1'!$A$32,N930)),MAX($M$2:M929)+1,0)</f>
        <v>928</v>
      </c>
      <c r="S930" s="325" t="s">
        <v>3302</v>
      </c>
      <c r="T930" t="str">
        <f>IFERROR(VLOOKUP(ROWS($T$3:T930),$R$3:$S$992,2,0),"")</f>
        <v>Činnosti zastaváren</v>
      </c>
      <c r="U930">
        <f>IF(ISNUMBER(SEARCH('1Př1'!$A$33,N930)),MAX($M$2:M929)+1,0)</f>
        <v>928</v>
      </c>
      <c r="V930" s="325" t="s">
        <v>3302</v>
      </c>
      <c r="W930" t="str">
        <f>IFERROR(VLOOKUP(ROWS($W$3:W930),$U$3:$V$992,2,0),"")</f>
        <v>Činnosti zastaváren</v>
      </c>
      <c r="X930">
        <f>IF(ISNUMBER(SEARCH('1Př1'!$A$34,N930)),MAX($M$2:M929)+1,0)</f>
        <v>928</v>
      </c>
      <c r="Y930" s="325" t="s">
        <v>3302</v>
      </c>
      <c r="Z930" t="str">
        <f>IFERROR(VLOOKUP(ROWS($Z$3:Z930),$X$3:$Y$992,2,0),"")</f>
        <v>Činnosti zastaváren</v>
      </c>
    </row>
    <row r="931" spans="13:26">
      <c r="M931" s="324">
        <f>IF(ISNUMBER(SEARCH(ZAKL_DATA!$B$29,N931)),MAX($M$2:M930)+1,0)</f>
        <v>929</v>
      </c>
      <c r="N931" s="325" t="s">
        <v>3304</v>
      </c>
      <c r="O931" s="340" t="s">
        <v>3305</v>
      </c>
      <c r="Q931" s="327" t="str">
        <f>IFERROR(VLOOKUP(ROWS($Q$3:Q931),$M$3:$N$992,2,0),"")</f>
        <v>Ostatní poskytování úvěrů j. n.</v>
      </c>
      <c r="R931">
        <f>IF(ISNUMBER(SEARCH('1Př1'!$A$32,N931)),MAX($M$2:M930)+1,0)</f>
        <v>929</v>
      </c>
      <c r="S931" s="325" t="s">
        <v>3304</v>
      </c>
      <c r="T931" t="str">
        <f>IFERROR(VLOOKUP(ROWS($T$3:T931),$R$3:$S$992,2,0),"")</f>
        <v>Ostatní poskytování úvěrů j. n.</v>
      </c>
      <c r="U931">
        <f>IF(ISNUMBER(SEARCH('1Př1'!$A$33,N931)),MAX($M$2:M930)+1,0)</f>
        <v>929</v>
      </c>
      <c r="V931" s="325" t="s">
        <v>3304</v>
      </c>
      <c r="W931" t="str">
        <f>IFERROR(VLOOKUP(ROWS($W$3:W931),$U$3:$V$992,2,0),"")</f>
        <v>Ostatní poskytování úvěrů j. n.</v>
      </c>
      <c r="X931">
        <f>IF(ISNUMBER(SEARCH('1Př1'!$A$34,N931)),MAX($M$2:M930)+1,0)</f>
        <v>929</v>
      </c>
      <c r="Y931" s="325" t="s">
        <v>3304</v>
      </c>
      <c r="Z931" t="str">
        <f>IFERROR(VLOOKUP(ROWS($Z$3:Z931),$X$3:$Y$992,2,0),"")</f>
        <v>Ostatní poskytování úvěrů j. n.</v>
      </c>
    </row>
    <row r="932" spans="13:26">
      <c r="M932" s="324">
        <f>IF(ISNUMBER(SEARCH(ZAKL_DATA!$B$29,N932)),MAX($M$2:M931)+1,0)</f>
        <v>930</v>
      </c>
      <c r="N932" s="325" t="s">
        <v>3306</v>
      </c>
      <c r="O932" s="340" t="s">
        <v>3307</v>
      </c>
      <c r="Q932" s="327" t="str">
        <f>IFERROR(VLOOKUP(ROWS($Q$3:Q932),$M$3:$N$992,2,0),"")</f>
        <v>Faktoringové činnosti</v>
      </c>
      <c r="R932">
        <f>IF(ISNUMBER(SEARCH('1Př1'!$A$32,N932)),MAX($M$2:M931)+1,0)</f>
        <v>930</v>
      </c>
      <c r="S932" s="325" t="s">
        <v>3306</v>
      </c>
      <c r="T932" t="str">
        <f>IFERROR(VLOOKUP(ROWS($T$3:T932),$R$3:$S$992,2,0),"")</f>
        <v>Faktoringové činnosti</v>
      </c>
      <c r="U932">
        <f>IF(ISNUMBER(SEARCH('1Př1'!$A$33,N932)),MAX($M$2:M931)+1,0)</f>
        <v>930</v>
      </c>
      <c r="V932" s="325" t="s">
        <v>3306</v>
      </c>
      <c r="W932" t="str">
        <f>IFERROR(VLOOKUP(ROWS($W$3:W932),$U$3:$V$992,2,0),"")</f>
        <v>Faktoringové činnosti</v>
      </c>
      <c r="X932">
        <f>IF(ISNUMBER(SEARCH('1Př1'!$A$34,N932)),MAX($M$2:M931)+1,0)</f>
        <v>930</v>
      </c>
      <c r="Y932" s="325" t="s">
        <v>3306</v>
      </c>
      <c r="Z932" t="str">
        <f>IFERROR(VLOOKUP(ROWS($Z$3:Z932),$X$3:$Y$992,2,0),"")</f>
        <v>Faktoringové činnosti</v>
      </c>
    </row>
    <row r="933" spans="13:26">
      <c r="M933" s="324">
        <f>IF(ISNUMBER(SEARCH(ZAKL_DATA!$B$29,N933)),MAX($M$2:M932)+1,0)</f>
        <v>931</v>
      </c>
      <c r="N933" s="325" t="s">
        <v>3308</v>
      </c>
      <c r="O933" s="340" t="s">
        <v>3309</v>
      </c>
      <c r="Q933" s="327" t="str">
        <f>IFERROR(VLOOKUP(ROWS($Q$3:Q933),$M$3:$N$992,2,0),"")</f>
        <v>Obchodování s cennými papíry na vlastní účet</v>
      </c>
      <c r="R933">
        <f>IF(ISNUMBER(SEARCH('1Př1'!$A$32,N933)),MAX($M$2:M932)+1,0)</f>
        <v>931</v>
      </c>
      <c r="S933" s="325" t="s">
        <v>3308</v>
      </c>
      <c r="T933" t="str">
        <f>IFERROR(VLOOKUP(ROWS($T$3:T933),$R$3:$S$992,2,0),"")</f>
        <v>Obchodování s cennými papíry na vlastní účet</v>
      </c>
      <c r="U933">
        <f>IF(ISNUMBER(SEARCH('1Př1'!$A$33,N933)),MAX($M$2:M932)+1,0)</f>
        <v>931</v>
      </c>
      <c r="V933" s="325" t="s">
        <v>3308</v>
      </c>
      <c r="W933" t="str">
        <f>IFERROR(VLOOKUP(ROWS($W$3:W933),$U$3:$V$992,2,0),"")</f>
        <v>Obchodování s cennými papíry na vlastní účet</v>
      </c>
      <c r="X933">
        <f>IF(ISNUMBER(SEARCH('1Př1'!$A$34,N933)),MAX($M$2:M932)+1,0)</f>
        <v>931</v>
      </c>
      <c r="Y933" s="325" t="s">
        <v>3308</v>
      </c>
      <c r="Z933" t="str">
        <f>IFERROR(VLOOKUP(ROWS($Z$3:Z933),$X$3:$Y$992,2,0),"")</f>
        <v>Obchodování s cennými papíry na vlastní účet</v>
      </c>
    </row>
    <row r="934" spans="13:26">
      <c r="M934" s="324">
        <f>IF(ISNUMBER(SEARCH(ZAKL_DATA!$B$29,N934)),MAX($M$2:M933)+1,0)</f>
        <v>932</v>
      </c>
      <c r="N934" s="325" t="s">
        <v>3310</v>
      </c>
      <c r="O934" s="340" t="s">
        <v>3311</v>
      </c>
      <c r="Q934" s="327" t="str">
        <f>IFERROR(VLOOKUP(ROWS($Q$3:Q934),$M$3:$N$992,2,0),"")</f>
        <v>Jiné finanční zprostředkování j. n.</v>
      </c>
      <c r="R934">
        <f>IF(ISNUMBER(SEARCH('1Př1'!$A$32,N934)),MAX($M$2:M933)+1,0)</f>
        <v>932</v>
      </c>
      <c r="S934" s="325" t="s">
        <v>3310</v>
      </c>
      <c r="T934" t="str">
        <f>IFERROR(VLOOKUP(ROWS($T$3:T934),$R$3:$S$992,2,0),"")</f>
        <v>Jiné finanční zprostředkování j. n.</v>
      </c>
      <c r="U934">
        <f>IF(ISNUMBER(SEARCH('1Př1'!$A$33,N934)),MAX($M$2:M933)+1,0)</f>
        <v>932</v>
      </c>
      <c r="V934" s="325" t="s">
        <v>3310</v>
      </c>
      <c r="W934" t="str">
        <f>IFERROR(VLOOKUP(ROWS($W$3:W934),$U$3:$V$992,2,0),"")</f>
        <v>Jiné finanční zprostředkování j. n.</v>
      </c>
      <c r="X934">
        <f>IF(ISNUMBER(SEARCH('1Př1'!$A$34,N934)),MAX($M$2:M933)+1,0)</f>
        <v>932</v>
      </c>
      <c r="Y934" s="325" t="s">
        <v>3310</v>
      </c>
      <c r="Z934" t="str">
        <f>IFERROR(VLOOKUP(ROWS($Z$3:Z934),$X$3:$Y$992,2,0),"")</f>
        <v>Jiné finanční zprostředkování j. n.</v>
      </c>
    </row>
    <row r="935" spans="13:26">
      <c r="M935" s="324">
        <f>IF(ISNUMBER(SEARCH(ZAKL_DATA!$B$29,N935)),MAX($M$2:M934)+1,0)</f>
        <v>933</v>
      </c>
      <c r="N935" s="325" t="s">
        <v>3312</v>
      </c>
      <c r="O935" s="340" t="s">
        <v>3313</v>
      </c>
      <c r="Q935" s="327" t="str">
        <f>IFERROR(VLOOKUP(ROWS($Q$3:Q935),$M$3:$N$992,2,0),"")</f>
        <v>Pronájem vlastních nebo pronajatých nemovitostí s bytovými prostory</v>
      </c>
      <c r="R935">
        <f>IF(ISNUMBER(SEARCH('1Př1'!$A$32,N935)),MAX($M$2:M934)+1,0)</f>
        <v>933</v>
      </c>
      <c r="S935" s="325" t="s">
        <v>3312</v>
      </c>
      <c r="T935" t="str">
        <f>IFERROR(VLOOKUP(ROWS($T$3:T935),$R$3:$S$992,2,0),"")</f>
        <v>Pronájem vlastních nebo pronajatých nemovitostí s bytovými prostory</v>
      </c>
      <c r="U935">
        <f>IF(ISNUMBER(SEARCH('1Př1'!$A$33,N935)),MAX($M$2:M934)+1,0)</f>
        <v>933</v>
      </c>
      <c r="V935" s="325" t="s">
        <v>3312</v>
      </c>
      <c r="W935" t="str">
        <f>IFERROR(VLOOKUP(ROWS($W$3:W935),$U$3:$V$992,2,0),"")</f>
        <v>Pronájem vlastních nebo pronajatých nemovitostí s bytovými prostory</v>
      </c>
      <c r="X935">
        <f>IF(ISNUMBER(SEARCH('1Př1'!$A$34,N935)),MAX($M$2:M934)+1,0)</f>
        <v>933</v>
      </c>
      <c r="Y935" s="325" t="s">
        <v>3312</v>
      </c>
      <c r="Z935" t="str">
        <f>IFERROR(VLOOKUP(ROWS($Z$3:Z935),$X$3:$Y$992,2,0),"")</f>
        <v>Pronájem vlastních nebo pronajatých nemovitostí s bytovými prostory</v>
      </c>
    </row>
    <row r="936" spans="13:26">
      <c r="M936" s="324">
        <f>IF(ISNUMBER(SEARCH(ZAKL_DATA!$B$29,N936)),MAX($M$2:M935)+1,0)</f>
        <v>934</v>
      </c>
      <c r="N936" s="325" t="s">
        <v>3314</v>
      </c>
      <c r="O936" s="340" t="s">
        <v>3315</v>
      </c>
      <c r="Q936" s="327" t="str">
        <f>IFERROR(VLOOKUP(ROWS($Q$3:Q936),$M$3:$N$992,2,0),"")</f>
        <v>Pronájem vlastních nebo pronajatých nemovitostí s nebytovými prostory</v>
      </c>
      <c r="R936">
        <f>IF(ISNUMBER(SEARCH('1Př1'!$A$32,N936)),MAX($M$2:M935)+1,0)</f>
        <v>934</v>
      </c>
      <c r="S936" s="325" t="s">
        <v>3314</v>
      </c>
      <c r="T936" t="str">
        <f>IFERROR(VLOOKUP(ROWS($T$3:T936),$R$3:$S$992,2,0),"")</f>
        <v>Pronájem vlastních nebo pronajatých nemovitostí s nebytovými prostory</v>
      </c>
      <c r="U936">
        <f>IF(ISNUMBER(SEARCH('1Př1'!$A$33,N936)),MAX($M$2:M935)+1,0)</f>
        <v>934</v>
      </c>
      <c r="V936" s="325" t="s">
        <v>3314</v>
      </c>
      <c r="W936" t="str">
        <f>IFERROR(VLOOKUP(ROWS($W$3:W936),$U$3:$V$992,2,0),"")</f>
        <v>Pronájem vlastních nebo pronajatých nemovitostí s nebytovými prostory</v>
      </c>
      <c r="X936">
        <f>IF(ISNUMBER(SEARCH('1Př1'!$A$34,N936)),MAX($M$2:M935)+1,0)</f>
        <v>934</v>
      </c>
      <c r="Y936" s="325" t="s">
        <v>3314</v>
      </c>
      <c r="Z936" t="str">
        <f>IFERROR(VLOOKUP(ROWS($Z$3:Z936),$X$3:$Y$992,2,0),"")</f>
        <v>Pronájem vlastních nebo pronajatých nemovitostí s nebytovými prostory</v>
      </c>
    </row>
    <row r="937" spans="13:26">
      <c r="M937" s="324">
        <f>IF(ISNUMBER(SEARCH(ZAKL_DATA!$B$29,N937)),MAX($M$2:M936)+1,0)</f>
        <v>935</v>
      </c>
      <c r="N937" s="325" t="s">
        <v>3316</v>
      </c>
      <c r="O937" s="340" t="s">
        <v>3317</v>
      </c>
      <c r="Q937" s="327" t="str">
        <f>IFERROR(VLOOKUP(ROWS($Q$3:Q937),$M$3:$N$992,2,0),"")</f>
        <v>Správa vlastních nebo pronajatých nemovitostí s bytovými prostory</v>
      </c>
      <c r="R937">
        <f>IF(ISNUMBER(SEARCH('1Př1'!$A$32,N937)),MAX($M$2:M936)+1,0)</f>
        <v>935</v>
      </c>
      <c r="S937" s="325" t="s">
        <v>3316</v>
      </c>
      <c r="T937" t="str">
        <f>IFERROR(VLOOKUP(ROWS($T$3:T937),$R$3:$S$992,2,0),"")</f>
        <v>Správa vlastních nebo pronajatých nemovitostí s bytovými prostory</v>
      </c>
      <c r="U937">
        <f>IF(ISNUMBER(SEARCH('1Př1'!$A$33,N937)),MAX($M$2:M936)+1,0)</f>
        <v>935</v>
      </c>
      <c r="V937" s="325" t="s">
        <v>3316</v>
      </c>
      <c r="W937" t="str">
        <f>IFERROR(VLOOKUP(ROWS($W$3:W937),$U$3:$V$992,2,0),"")</f>
        <v>Správa vlastních nebo pronajatých nemovitostí s bytovými prostory</v>
      </c>
      <c r="X937">
        <f>IF(ISNUMBER(SEARCH('1Př1'!$A$34,N937)),MAX($M$2:M936)+1,0)</f>
        <v>935</v>
      </c>
      <c r="Y937" s="325" t="s">
        <v>3316</v>
      </c>
      <c r="Z937" t="str">
        <f>IFERROR(VLOOKUP(ROWS($Z$3:Z937),$X$3:$Y$992,2,0),"")</f>
        <v>Správa vlastních nebo pronajatých nemovitostí s bytovými prostory</v>
      </c>
    </row>
    <row r="938" spans="13:26">
      <c r="M938" s="324">
        <f>IF(ISNUMBER(SEARCH(ZAKL_DATA!$B$29,N938)),MAX($M$2:M937)+1,0)</f>
        <v>936</v>
      </c>
      <c r="N938" s="325" t="s">
        <v>3318</v>
      </c>
      <c r="O938" s="340" t="s">
        <v>3319</v>
      </c>
      <c r="Q938" s="327" t="str">
        <f>IFERROR(VLOOKUP(ROWS($Q$3:Q938),$M$3:$N$992,2,0),"")</f>
        <v>Správa vlastních nebo pronajatých nemovitostí s nebytovými prostory</v>
      </c>
      <c r="R938">
        <f>IF(ISNUMBER(SEARCH('1Př1'!$A$32,N938)),MAX($M$2:M937)+1,0)</f>
        <v>936</v>
      </c>
      <c r="S938" s="325" t="s">
        <v>3318</v>
      </c>
      <c r="T938" t="str">
        <f>IFERROR(VLOOKUP(ROWS($T$3:T938),$R$3:$S$992,2,0),"")</f>
        <v>Správa vlastních nebo pronajatých nemovitostí s nebytovými prostory</v>
      </c>
      <c r="U938">
        <f>IF(ISNUMBER(SEARCH('1Př1'!$A$33,N938)),MAX($M$2:M937)+1,0)</f>
        <v>936</v>
      </c>
      <c r="V938" s="325" t="s">
        <v>3318</v>
      </c>
      <c r="W938" t="str">
        <f>IFERROR(VLOOKUP(ROWS($W$3:W938),$U$3:$V$992,2,0),"")</f>
        <v>Správa vlastních nebo pronajatých nemovitostí s nebytovými prostory</v>
      </c>
      <c r="X938">
        <f>IF(ISNUMBER(SEARCH('1Př1'!$A$34,N938)),MAX($M$2:M937)+1,0)</f>
        <v>936</v>
      </c>
      <c r="Y938" s="325" t="s">
        <v>3318</v>
      </c>
      <c r="Z938" t="str">
        <f>IFERROR(VLOOKUP(ROWS($Z$3:Z938),$X$3:$Y$992,2,0),"")</f>
        <v>Správa vlastních nebo pronajatých nemovitostí s nebytovými prostory</v>
      </c>
    </row>
    <row r="939" spans="13:26">
      <c r="M939" s="324">
        <f>IF(ISNUMBER(SEARCH(ZAKL_DATA!$B$29,N939)),MAX($M$2:M938)+1,0)</f>
        <v>937</v>
      </c>
      <c r="N939" s="325" t="s">
        <v>3320</v>
      </c>
      <c r="O939" s="340" t="s">
        <v>3321</v>
      </c>
      <c r="Q939" s="327" t="str">
        <f>IFERROR(VLOOKUP(ROWS($Q$3:Q939),$M$3:$N$992,2,0),"")</f>
        <v>Geologický průzkum</v>
      </c>
      <c r="R939">
        <f>IF(ISNUMBER(SEARCH('1Př1'!$A$32,N939)),MAX($M$2:M938)+1,0)</f>
        <v>937</v>
      </c>
      <c r="S939" s="325" t="s">
        <v>3320</v>
      </c>
      <c r="T939" t="str">
        <f>IFERROR(VLOOKUP(ROWS($T$3:T939),$R$3:$S$992,2,0),"")</f>
        <v>Geologický průzkum</v>
      </c>
      <c r="U939">
        <f>IF(ISNUMBER(SEARCH('1Př1'!$A$33,N939)),MAX($M$2:M938)+1,0)</f>
        <v>937</v>
      </c>
      <c r="V939" s="325" t="s">
        <v>3320</v>
      </c>
      <c r="W939" t="str">
        <f>IFERROR(VLOOKUP(ROWS($W$3:W939),$U$3:$V$992,2,0),"")</f>
        <v>Geologický průzkum</v>
      </c>
      <c r="X939">
        <f>IF(ISNUMBER(SEARCH('1Př1'!$A$34,N939)),MAX($M$2:M938)+1,0)</f>
        <v>937</v>
      </c>
      <c r="Y939" s="325" t="s">
        <v>3320</v>
      </c>
      <c r="Z939" t="str">
        <f>IFERROR(VLOOKUP(ROWS($Z$3:Z939),$X$3:$Y$992,2,0),"")</f>
        <v>Geologický průzkum</v>
      </c>
    </row>
    <row r="940" spans="13:26">
      <c r="M940" s="324">
        <f>IF(ISNUMBER(SEARCH(ZAKL_DATA!$B$29,N940)),MAX($M$2:M939)+1,0)</f>
        <v>938</v>
      </c>
      <c r="N940" s="325" t="s">
        <v>3322</v>
      </c>
      <c r="O940" s="340" t="s">
        <v>3323</v>
      </c>
      <c r="Q940" s="327" t="str">
        <f>IFERROR(VLOOKUP(ROWS($Q$3:Q940),$M$3:$N$992,2,0),"")</f>
        <v>Zeměměřické a kartografické činnosti</v>
      </c>
      <c r="R940">
        <f>IF(ISNUMBER(SEARCH('1Př1'!$A$32,N940)),MAX($M$2:M939)+1,0)</f>
        <v>938</v>
      </c>
      <c r="S940" s="325" t="s">
        <v>3322</v>
      </c>
      <c r="T940" t="str">
        <f>IFERROR(VLOOKUP(ROWS($T$3:T940),$R$3:$S$992,2,0),"")</f>
        <v>Zeměměřické a kartografické činnosti</v>
      </c>
      <c r="U940">
        <f>IF(ISNUMBER(SEARCH('1Př1'!$A$33,N940)),MAX($M$2:M939)+1,0)</f>
        <v>938</v>
      </c>
      <c r="V940" s="325" t="s">
        <v>3322</v>
      </c>
      <c r="W940" t="str">
        <f>IFERROR(VLOOKUP(ROWS($W$3:W940),$U$3:$V$992,2,0),"")</f>
        <v>Zeměměřické a kartografické činnosti</v>
      </c>
      <c r="X940">
        <f>IF(ISNUMBER(SEARCH('1Př1'!$A$34,N940)),MAX($M$2:M939)+1,0)</f>
        <v>938</v>
      </c>
      <c r="Y940" s="325" t="s">
        <v>3322</v>
      </c>
      <c r="Z940" t="str">
        <f>IFERROR(VLOOKUP(ROWS($Z$3:Z940),$X$3:$Y$992,2,0),"")</f>
        <v>Zeměměřické a kartografické činnosti</v>
      </c>
    </row>
    <row r="941" spans="13:26">
      <c r="M941" s="324">
        <f>IF(ISNUMBER(SEARCH(ZAKL_DATA!$B$29,N941)),MAX($M$2:M940)+1,0)</f>
        <v>939</v>
      </c>
      <c r="N941" s="325" t="s">
        <v>3324</v>
      </c>
      <c r="O941" s="340" t="s">
        <v>3325</v>
      </c>
      <c r="Q941" s="327" t="str">
        <f>IFERROR(VLOOKUP(ROWS($Q$3:Q941),$M$3:$N$992,2,0),"")</f>
        <v>Hydrometeorologické a meteorologické činnosti</v>
      </c>
      <c r="R941">
        <f>IF(ISNUMBER(SEARCH('1Př1'!$A$32,N941)),MAX($M$2:M940)+1,0)</f>
        <v>939</v>
      </c>
      <c r="S941" s="325" t="s">
        <v>3324</v>
      </c>
      <c r="T941" t="str">
        <f>IFERROR(VLOOKUP(ROWS($T$3:T941),$R$3:$S$992,2,0),"")</f>
        <v>Hydrometeorologické a meteorologické činnosti</v>
      </c>
      <c r="U941">
        <f>IF(ISNUMBER(SEARCH('1Př1'!$A$33,N941)),MAX($M$2:M940)+1,0)</f>
        <v>939</v>
      </c>
      <c r="V941" s="325" t="s">
        <v>3324</v>
      </c>
      <c r="W941" t="str">
        <f>IFERROR(VLOOKUP(ROWS($W$3:W941),$U$3:$V$992,2,0),"")</f>
        <v>Hydrometeorologické a meteorologické činnosti</v>
      </c>
      <c r="X941">
        <f>IF(ISNUMBER(SEARCH('1Př1'!$A$34,N941)),MAX($M$2:M940)+1,0)</f>
        <v>939</v>
      </c>
      <c r="Y941" s="325" t="s">
        <v>3324</v>
      </c>
      <c r="Z941" t="str">
        <f>IFERROR(VLOOKUP(ROWS($Z$3:Z941),$X$3:$Y$992,2,0),"")</f>
        <v>Hydrometeorologické a meteorologické činnosti</v>
      </c>
    </row>
    <row r="942" spans="13:26">
      <c r="M942" s="324">
        <f>IF(ISNUMBER(SEARCH(ZAKL_DATA!$B$29,N942)),MAX($M$2:M941)+1,0)</f>
        <v>940</v>
      </c>
      <c r="N942" s="325" t="s">
        <v>3326</v>
      </c>
      <c r="O942" s="340" t="s">
        <v>3327</v>
      </c>
      <c r="Q942" s="327" t="str">
        <f>IFERROR(VLOOKUP(ROWS($Q$3:Q942),$M$3:$N$992,2,0),"")</f>
        <v>Ostatní inženýrské činnosti a související technické poradenství j. n.</v>
      </c>
      <c r="R942">
        <f>IF(ISNUMBER(SEARCH('1Př1'!$A$32,N942)),MAX($M$2:M941)+1,0)</f>
        <v>940</v>
      </c>
      <c r="S942" s="325" t="s">
        <v>3326</v>
      </c>
      <c r="T942" t="str">
        <f>IFERROR(VLOOKUP(ROWS($T$3:T942),$R$3:$S$992,2,0),"")</f>
        <v>Ostatní inženýrské činnosti a související technické poradenství j. n.</v>
      </c>
      <c r="U942">
        <f>IF(ISNUMBER(SEARCH('1Př1'!$A$33,N942)),MAX($M$2:M941)+1,0)</f>
        <v>940</v>
      </c>
      <c r="V942" s="325" t="s">
        <v>3326</v>
      </c>
      <c r="W942" t="str">
        <f>IFERROR(VLOOKUP(ROWS($W$3:W942),$U$3:$V$992,2,0),"")</f>
        <v>Ostatní inženýrské činnosti a související technické poradenství j. n.</v>
      </c>
      <c r="X942">
        <f>IF(ISNUMBER(SEARCH('1Př1'!$A$34,N942)),MAX($M$2:M941)+1,0)</f>
        <v>940</v>
      </c>
      <c r="Y942" s="325" t="s">
        <v>3326</v>
      </c>
      <c r="Z942" t="str">
        <f>IFERROR(VLOOKUP(ROWS($Z$3:Z942),$X$3:$Y$992,2,0),"")</f>
        <v>Ostatní inženýrské činnosti a související technické poradenství j. n.</v>
      </c>
    </row>
    <row r="943" spans="13:26">
      <c r="M943" s="324">
        <f>IF(ISNUMBER(SEARCH(ZAKL_DATA!$B$29,N943)),MAX($M$2:M942)+1,0)</f>
        <v>941</v>
      </c>
      <c r="N943" s="325" t="s">
        <v>3328</v>
      </c>
      <c r="O943" s="340" t="s">
        <v>3329</v>
      </c>
      <c r="Q943" s="327" t="str">
        <f>IFERROR(VLOOKUP(ROWS($Q$3:Q943),$M$3:$N$992,2,0),"")</f>
        <v>Zkoušky a analýzy vyhrazených technických zařízení</v>
      </c>
      <c r="R943">
        <f>IF(ISNUMBER(SEARCH('1Př1'!$A$32,N943)),MAX($M$2:M942)+1,0)</f>
        <v>941</v>
      </c>
      <c r="S943" s="325" t="s">
        <v>3328</v>
      </c>
      <c r="T943" t="str">
        <f>IFERROR(VLOOKUP(ROWS($T$3:T943),$R$3:$S$992,2,0),"")</f>
        <v>Zkoušky a analýzy vyhrazených technických zařízení</v>
      </c>
      <c r="U943">
        <f>IF(ISNUMBER(SEARCH('1Př1'!$A$33,N943)),MAX($M$2:M942)+1,0)</f>
        <v>941</v>
      </c>
      <c r="V943" s="325" t="s">
        <v>3328</v>
      </c>
      <c r="W943" t="str">
        <f>IFERROR(VLOOKUP(ROWS($W$3:W943),$U$3:$V$992,2,0),"")</f>
        <v>Zkoušky a analýzy vyhrazených technických zařízení</v>
      </c>
      <c r="X943">
        <f>IF(ISNUMBER(SEARCH('1Př1'!$A$34,N943)),MAX($M$2:M942)+1,0)</f>
        <v>941</v>
      </c>
      <c r="Y943" s="325" t="s">
        <v>3328</v>
      </c>
      <c r="Z943" t="str">
        <f>IFERROR(VLOOKUP(ROWS($Z$3:Z943),$X$3:$Y$992,2,0),"")</f>
        <v>Zkoušky a analýzy vyhrazených technických zařízení</v>
      </c>
    </row>
    <row r="944" spans="13:26">
      <c r="M944" s="324">
        <f>IF(ISNUMBER(SEARCH(ZAKL_DATA!$B$29,N944)),MAX($M$2:M943)+1,0)</f>
        <v>942</v>
      </c>
      <c r="N944" s="325" t="s">
        <v>3330</v>
      </c>
      <c r="O944" s="340" t="s">
        <v>3331</v>
      </c>
      <c r="Q944" s="327" t="str">
        <f>IFERROR(VLOOKUP(ROWS($Q$3:Q944),$M$3:$N$992,2,0),"")</f>
        <v>Ostatní technické zkouky a analýzy</v>
      </c>
      <c r="R944">
        <f>IF(ISNUMBER(SEARCH('1Př1'!$A$32,N944)),MAX($M$2:M943)+1,0)</f>
        <v>942</v>
      </c>
      <c r="S944" s="325" t="s">
        <v>3330</v>
      </c>
      <c r="T944" t="str">
        <f>IFERROR(VLOOKUP(ROWS($T$3:T944),$R$3:$S$992,2,0),"")</f>
        <v>Ostatní technické zkouky a analýzy</v>
      </c>
      <c r="U944">
        <f>IF(ISNUMBER(SEARCH('1Př1'!$A$33,N944)),MAX($M$2:M943)+1,0)</f>
        <v>942</v>
      </c>
      <c r="V944" s="325" t="s">
        <v>3330</v>
      </c>
      <c r="W944" t="str">
        <f>IFERROR(VLOOKUP(ROWS($W$3:W944),$U$3:$V$992,2,0),"")</f>
        <v>Ostatní technické zkouky a analýzy</v>
      </c>
      <c r="X944">
        <f>IF(ISNUMBER(SEARCH('1Př1'!$A$34,N944)),MAX($M$2:M943)+1,0)</f>
        <v>942</v>
      </c>
      <c r="Y944" s="325" t="s">
        <v>3330</v>
      </c>
      <c r="Z944" t="str">
        <f>IFERROR(VLOOKUP(ROWS($Z$3:Z944),$X$3:$Y$992,2,0),"")</f>
        <v>Ostatní technické zkouky a analýzy</v>
      </c>
    </row>
    <row r="945" spans="13:26">
      <c r="M945" s="324">
        <f>IF(ISNUMBER(SEARCH(ZAKL_DATA!$B$29,N945)),MAX($M$2:M944)+1,0)</f>
        <v>943</v>
      </c>
      <c r="N945" s="325" t="s">
        <v>3332</v>
      </c>
      <c r="O945" s="340" t="s">
        <v>2975</v>
      </c>
      <c r="Q945" s="327" t="str">
        <f>IFERROR(VLOOKUP(ROWS($Q$3:Q945),$M$3:$N$992,2,0),"")</f>
        <v>Ostatní výzkum a vývoj v oblasti přírodních a technických věd</v>
      </c>
      <c r="R945">
        <f>IF(ISNUMBER(SEARCH('1Př1'!$A$32,N945)),MAX($M$2:M944)+1,0)</f>
        <v>943</v>
      </c>
      <c r="S945" s="325" t="s">
        <v>3332</v>
      </c>
      <c r="T945" t="str">
        <f>IFERROR(VLOOKUP(ROWS($T$3:T945),$R$3:$S$992,2,0),"")</f>
        <v>Ostatní výzkum a vývoj v oblasti přírodních a technických věd</v>
      </c>
      <c r="U945">
        <f>IF(ISNUMBER(SEARCH('1Př1'!$A$33,N945)),MAX($M$2:M944)+1,0)</f>
        <v>943</v>
      </c>
      <c r="V945" s="325" t="s">
        <v>3332</v>
      </c>
      <c r="W945" t="str">
        <f>IFERROR(VLOOKUP(ROWS($W$3:W945),$U$3:$V$992,2,0),"")</f>
        <v>Ostatní výzkum a vývoj v oblasti přírodních a technických věd</v>
      </c>
      <c r="X945">
        <f>IF(ISNUMBER(SEARCH('1Př1'!$A$34,N945)),MAX($M$2:M944)+1,0)</f>
        <v>943</v>
      </c>
      <c r="Y945" s="325" t="s">
        <v>3332</v>
      </c>
      <c r="Z945" t="str">
        <f>IFERROR(VLOOKUP(ROWS($Z$3:Z945),$X$3:$Y$992,2,0),"")</f>
        <v>Ostatní výzkum a vývoj v oblasti přírodních a technických věd</v>
      </c>
    </row>
    <row r="946" spans="13:26">
      <c r="M946" s="324">
        <f>IF(ISNUMBER(SEARCH(ZAKL_DATA!$B$29,N946)),MAX($M$2:M945)+1,0)</f>
        <v>944</v>
      </c>
      <c r="N946" s="325" t="s">
        <v>3333</v>
      </c>
      <c r="O946" s="340" t="s">
        <v>3334</v>
      </c>
      <c r="Q946" s="327" t="str">
        <f>IFERROR(VLOOKUP(ROWS($Q$3:Q946),$M$3:$N$992,2,0),"")</f>
        <v>Výzkum a vývoj v oblasti lékařských věd</v>
      </c>
      <c r="R946">
        <f>IF(ISNUMBER(SEARCH('1Př1'!$A$32,N946)),MAX($M$2:M945)+1,0)</f>
        <v>944</v>
      </c>
      <c r="S946" s="325" t="s">
        <v>3333</v>
      </c>
      <c r="T946" t="str">
        <f>IFERROR(VLOOKUP(ROWS($T$3:T946),$R$3:$S$992,2,0),"")</f>
        <v>Výzkum a vývoj v oblasti lékařských věd</v>
      </c>
      <c r="U946">
        <f>IF(ISNUMBER(SEARCH('1Př1'!$A$33,N946)),MAX($M$2:M945)+1,0)</f>
        <v>944</v>
      </c>
      <c r="V946" s="325" t="s">
        <v>3333</v>
      </c>
      <c r="W946" t="str">
        <f>IFERROR(VLOOKUP(ROWS($W$3:W946),$U$3:$V$992,2,0),"")</f>
        <v>Výzkum a vývoj v oblasti lékařských věd</v>
      </c>
      <c r="X946">
        <f>IF(ISNUMBER(SEARCH('1Př1'!$A$34,N946)),MAX($M$2:M945)+1,0)</f>
        <v>944</v>
      </c>
      <c r="Y946" s="325" t="s">
        <v>3333</v>
      </c>
      <c r="Z946" t="str">
        <f>IFERROR(VLOOKUP(ROWS($Z$3:Z946),$X$3:$Y$992,2,0),"")</f>
        <v>Výzkum a vývoj v oblasti lékařských věd</v>
      </c>
    </row>
    <row r="947" spans="13:26">
      <c r="M947" s="324">
        <f>IF(ISNUMBER(SEARCH(ZAKL_DATA!$B$29,N947)),MAX($M$2:M946)+1,0)</f>
        <v>945</v>
      </c>
      <c r="N947" s="325" t="s">
        <v>3335</v>
      </c>
      <c r="O947" s="340" t="s">
        <v>3336</v>
      </c>
      <c r="Q947" s="327" t="str">
        <f>IFERROR(VLOOKUP(ROWS($Q$3:Q947),$M$3:$N$992,2,0),"")</f>
        <v>Výzkum a vývoj v oblasti technických věd</v>
      </c>
      <c r="R947">
        <f>IF(ISNUMBER(SEARCH('1Př1'!$A$32,N947)),MAX($M$2:M946)+1,0)</f>
        <v>945</v>
      </c>
      <c r="S947" s="325" t="s">
        <v>3335</v>
      </c>
      <c r="T947" t="str">
        <f>IFERROR(VLOOKUP(ROWS($T$3:T947),$R$3:$S$992,2,0),"")</f>
        <v>Výzkum a vývoj v oblasti technických věd</v>
      </c>
      <c r="U947">
        <f>IF(ISNUMBER(SEARCH('1Př1'!$A$33,N947)),MAX($M$2:M946)+1,0)</f>
        <v>945</v>
      </c>
      <c r="V947" s="325" t="s">
        <v>3335</v>
      </c>
      <c r="W947" t="str">
        <f>IFERROR(VLOOKUP(ROWS($W$3:W947),$U$3:$V$992,2,0),"")</f>
        <v>Výzkum a vývoj v oblasti technických věd</v>
      </c>
      <c r="X947">
        <f>IF(ISNUMBER(SEARCH('1Př1'!$A$34,N947)),MAX($M$2:M946)+1,0)</f>
        <v>945</v>
      </c>
      <c r="Y947" s="325" t="s">
        <v>3335</v>
      </c>
      <c r="Z947" t="str">
        <f>IFERROR(VLOOKUP(ROWS($Z$3:Z947),$X$3:$Y$992,2,0),"")</f>
        <v>Výzkum a vývoj v oblasti technických věd</v>
      </c>
    </row>
    <row r="948" spans="13:26">
      <c r="M948" s="324">
        <f>IF(ISNUMBER(SEARCH(ZAKL_DATA!$B$29,N948)),MAX($M$2:M947)+1,0)</f>
        <v>946</v>
      </c>
      <c r="N948" s="325" t="s">
        <v>3337</v>
      </c>
      <c r="O948" s="340" t="s">
        <v>3338</v>
      </c>
      <c r="Q948" s="327" t="str">
        <f>IFERROR(VLOOKUP(ROWS($Q$3:Q948),$M$3:$N$992,2,0),"")</f>
        <v>Výzkum a vývoj v oblasti jiných přírodních věd</v>
      </c>
      <c r="R948">
        <f>IF(ISNUMBER(SEARCH('1Př1'!$A$32,N948)),MAX($M$2:M947)+1,0)</f>
        <v>946</v>
      </c>
      <c r="S948" s="325" t="s">
        <v>3337</v>
      </c>
      <c r="T948" t="str">
        <f>IFERROR(VLOOKUP(ROWS($T$3:T948),$R$3:$S$992,2,0),"")</f>
        <v>Výzkum a vývoj v oblasti jiných přírodních věd</v>
      </c>
      <c r="U948">
        <f>IF(ISNUMBER(SEARCH('1Př1'!$A$33,N948)),MAX($M$2:M947)+1,0)</f>
        <v>946</v>
      </c>
      <c r="V948" s="325" t="s">
        <v>3337</v>
      </c>
      <c r="W948" t="str">
        <f>IFERROR(VLOOKUP(ROWS($W$3:W948),$U$3:$V$992,2,0),"")</f>
        <v>Výzkum a vývoj v oblasti jiných přírodních věd</v>
      </c>
      <c r="X948">
        <f>IF(ISNUMBER(SEARCH('1Př1'!$A$34,N948)),MAX($M$2:M947)+1,0)</f>
        <v>946</v>
      </c>
      <c r="Y948" s="325" t="s">
        <v>3337</v>
      </c>
      <c r="Z948" t="str">
        <f>IFERROR(VLOOKUP(ROWS($Z$3:Z948),$X$3:$Y$992,2,0),"")</f>
        <v>Výzkum a vývoj v oblasti jiných přírodních věd</v>
      </c>
    </row>
    <row r="949" spans="13:26">
      <c r="M949" s="324">
        <f>IF(ISNUMBER(SEARCH(ZAKL_DATA!$B$29,N949)),MAX($M$2:M948)+1,0)</f>
        <v>947</v>
      </c>
      <c r="N949" s="325" t="s">
        <v>3339</v>
      </c>
      <c r="O949" s="340" t="s">
        <v>2119</v>
      </c>
      <c r="Q949" s="327" t="str">
        <f>IFERROR(VLOOKUP(ROWS($Q$3:Q949),$M$3:$N$992,2,0),"")</f>
        <v>Ostatní profesní,vědecké a technické činnosti j.n.</v>
      </c>
      <c r="R949">
        <f>IF(ISNUMBER(SEARCH('1Př1'!$A$32,N949)),MAX($M$2:M948)+1,0)</f>
        <v>947</v>
      </c>
      <c r="S949" s="325" t="s">
        <v>3339</v>
      </c>
      <c r="T949" t="str">
        <f>IFERROR(VLOOKUP(ROWS($T$3:T949),$R$3:$S$992,2,0),"")</f>
        <v>Ostatní profesní,vědecké a technické činnosti j.n.</v>
      </c>
      <c r="U949">
        <f>IF(ISNUMBER(SEARCH('1Př1'!$A$33,N949)),MAX($M$2:M948)+1,0)</f>
        <v>947</v>
      </c>
      <c r="V949" s="325" t="s">
        <v>3339</v>
      </c>
      <c r="W949" t="str">
        <f>IFERROR(VLOOKUP(ROWS($W$3:W949),$U$3:$V$992,2,0),"")</f>
        <v>Ostatní profesní,vědecké a technické činnosti j.n.</v>
      </c>
      <c r="X949">
        <f>IF(ISNUMBER(SEARCH('1Př1'!$A$34,N949)),MAX($M$2:M948)+1,0)</f>
        <v>947</v>
      </c>
      <c r="Y949" s="325" t="s">
        <v>3339</v>
      </c>
      <c r="Z949" t="str">
        <f>IFERROR(VLOOKUP(ROWS($Z$3:Z949),$X$3:$Y$992,2,0),"")</f>
        <v>Ostatní profesní,vědecké a technické činnosti j.n.</v>
      </c>
    </row>
    <row r="950" spans="13:26">
      <c r="M950" s="324">
        <f>IF(ISNUMBER(SEARCH(ZAKL_DATA!$B$29,N950)),MAX($M$2:M949)+1,0)</f>
        <v>948</v>
      </c>
      <c r="N950" s="325" t="s">
        <v>3340</v>
      </c>
      <c r="O950" s="340" t="s">
        <v>3341</v>
      </c>
      <c r="Q950" s="327" t="str">
        <f>IFERROR(VLOOKUP(ROWS($Q$3:Q950),$M$3:$N$992,2,0),"")</f>
        <v>Poradenství v oblasti bezpečnosti a ochrany zdraví při práci</v>
      </c>
      <c r="R950">
        <f>IF(ISNUMBER(SEARCH('1Př1'!$A$32,N950)),MAX($M$2:M949)+1,0)</f>
        <v>948</v>
      </c>
      <c r="S950" s="325" t="s">
        <v>3340</v>
      </c>
      <c r="T950" t="str">
        <f>IFERROR(VLOOKUP(ROWS($T$3:T950),$R$3:$S$992,2,0),"")</f>
        <v>Poradenství v oblasti bezpečnosti a ochrany zdraví při práci</v>
      </c>
      <c r="U950">
        <f>IF(ISNUMBER(SEARCH('1Př1'!$A$33,N950)),MAX($M$2:M949)+1,0)</f>
        <v>948</v>
      </c>
      <c r="V950" s="325" t="s">
        <v>3340</v>
      </c>
      <c r="W950" t="str">
        <f>IFERROR(VLOOKUP(ROWS($W$3:W950),$U$3:$V$992,2,0),"")</f>
        <v>Poradenství v oblasti bezpečnosti a ochrany zdraví při práci</v>
      </c>
      <c r="X950">
        <f>IF(ISNUMBER(SEARCH('1Př1'!$A$34,N950)),MAX($M$2:M949)+1,0)</f>
        <v>948</v>
      </c>
      <c r="Y950" s="325" t="s">
        <v>3340</v>
      </c>
      <c r="Z950" t="str">
        <f>IFERROR(VLOOKUP(ROWS($Z$3:Z950),$X$3:$Y$992,2,0),"")</f>
        <v>Poradenství v oblasti bezpečnosti a ochrany zdraví při práci</v>
      </c>
    </row>
    <row r="951" spans="13:26">
      <c r="M951" s="324">
        <f>IF(ISNUMBER(SEARCH(ZAKL_DATA!$B$29,N951)),MAX($M$2:M950)+1,0)</f>
        <v>949</v>
      </c>
      <c r="N951" s="325" t="s">
        <v>3342</v>
      </c>
      <c r="O951" s="340" t="s">
        <v>3343</v>
      </c>
      <c r="Q951" s="327" t="str">
        <f>IFERROR(VLOOKUP(ROWS($Q$3:Q951),$M$3:$N$992,2,0),"")</f>
        <v>Poradenství v oblasti požární ochrany</v>
      </c>
      <c r="R951">
        <f>IF(ISNUMBER(SEARCH('1Př1'!$A$32,N951)),MAX($M$2:M950)+1,0)</f>
        <v>949</v>
      </c>
      <c r="S951" s="325" t="s">
        <v>3342</v>
      </c>
      <c r="T951" t="str">
        <f>IFERROR(VLOOKUP(ROWS($T$3:T951),$R$3:$S$992,2,0),"")</f>
        <v>Poradenství v oblasti požární ochrany</v>
      </c>
      <c r="U951">
        <f>IF(ISNUMBER(SEARCH('1Př1'!$A$33,N951)),MAX($M$2:M950)+1,0)</f>
        <v>949</v>
      </c>
      <c r="V951" s="325" t="s">
        <v>3342</v>
      </c>
      <c r="W951" t="str">
        <f>IFERROR(VLOOKUP(ROWS($W$3:W951),$U$3:$V$992,2,0),"")</f>
        <v>Poradenství v oblasti požární ochrany</v>
      </c>
      <c r="X951">
        <f>IF(ISNUMBER(SEARCH('1Př1'!$A$34,N951)),MAX($M$2:M950)+1,0)</f>
        <v>949</v>
      </c>
      <c r="Y951" s="325" t="s">
        <v>3342</v>
      </c>
      <c r="Z951" t="str">
        <f>IFERROR(VLOOKUP(ROWS($Z$3:Z951),$X$3:$Y$992,2,0),"")</f>
        <v>Poradenství v oblasti požární ochrany</v>
      </c>
    </row>
    <row r="952" spans="13:26">
      <c r="M952" s="324">
        <f>IF(ISNUMBER(SEARCH(ZAKL_DATA!$B$29,N952)),MAX($M$2:M951)+1,0)</f>
        <v>950</v>
      </c>
      <c r="N952" s="325" t="s">
        <v>3344</v>
      </c>
      <c r="O952" s="340" t="s">
        <v>3345</v>
      </c>
      <c r="Q952" s="327" t="str">
        <f>IFERROR(VLOOKUP(ROWS($Q$3:Q952),$M$3:$N$992,2,0),"")</f>
        <v>Jiné profesní, vědecké a technické činnosti j. n.</v>
      </c>
      <c r="R952">
        <f>IF(ISNUMBER(SEARCH('1Př1'!$A$32,N952)),MAX($M$2:M951)+1,0)</f>
        <v>950</v>
      </c>
      <c r="S952" s="325" t="s">
        <v>3344</v>
      </c>
      <c r="T952" t="str">
        <f>IFERROR(VLOOKUP(ROWS($T$3:T952),$R$3:$S$992,2,0),"")</f>
        <v>Jiné profesní, vědecké a technické činnosti j. n.</v>
      </c>
      <c r="U952">
        <f>IF(ISNUMBER(SEARCH('1Př1'!$A$33,N952)),MAX($M$2:M951)+1,0)</f>
        <v>950</v>
      </c>
      <c r="V952" s="325" t="s">
        <v>3344</v>
      </c>
      <c r="W952" t="str">
        <f>IFERROR(VLOOKUP(ROWS($W$3:W952),$U$3:$V$992,2,0),"")</f>
        <v>Jiné profesní, vědecké a technické činnosti j. n.</v>
      </c>
      <c r="X952">
        <f>IF(ISNUMBER(SEARCH('1Př1'!$A$34,N952)),MAX($M$2:M951)+1,0)</f>
        <v>950</v>
      </c>
      <c r="Y952" s="325" t="s">
        <v>3344</v>
      </c>
      <c r="Z952" t="str">
        <f>IFERROR(VLOOKUP(ROWS($Z$3:Z952),$X$3:$Y$992,2,0),"")</f>
        <v>Jiné profesní, vědecké a technické činnosti j. n.</v>
      </c>
    </row>
    <row r="953" spans="13:26">
      <c r="M953" s="324">
        <f>IF(ISNUMBER(SEARCH(ZAKL_DATA!$B$29,N953)),MAX($M$2:M952)+1,0)</f>
        <v>951</v>
      </c>
      <c r="N953" s="325" t="s">
        <v>3346</v>
      </c>
      <c r="O953" s="340" t="s">
        <v>3347</v>
      </c>
      <c r="Q953" s="327" t="str">
        <f>IFERROR(VLOOKUP(ROWS($Q$3:Q953),$M$3:$N$992,2,0),"")</f>
        <v>Průvodcovské činnosti</v>
      </c>
      <c r="R953">
        <f>IF(ISNUMBER(SEARCH('1Př1'!$A$32,N953)),MAX($M$2:M952)+1,0)</f>
        <v>951</v>
      </c>
      <c r="S953" s="325" t="s">
        <v>3346</v>
      </c>
      <c r="T953" t="str">
        <f>IFERROR(VLOOKUP(ROWS($T$3:T953),$R$3:$S$992,2,0),"")</f>
        <v>Průvodcovské činnosti</v>
      </c>
      <c r="U953">
        <f>IF(ISNUMBER(SEARCH('1Př1'!$A$33,N953)),MAX($M$2:M952)+1,0)</f>
        <v>951</v>
      </c>
      <c r="V953" s="325" t="s">
        <v>3346</v>
      </c>
      <c r="W953" t="str">
        <f>IFERROR(VLOOKUP(ROWS($W$3:W953),$U$3:$V$992,2,0),"")</f>
        <v>Průvodcovské činnosti</v>
      </c>
      <c r="X953">
        <f>IF(ISNUMBER(SEARCH('1Př1'!$A$34,N953)),MAX($M$2:M952)+1,0)</f>
        <v>951</v>
      </c>
      <c r="Y953" s="325" t="s">
        <v>3346</v>
      </c>
      <c r="Z953" t="str">
        <f>IFERROR(VLOOKUP(ROWS($Z$3:Z953),$X$3:$Y$992,2,0),"")</f>
        <v>Průvodcovské činnosti</v>
      </c>
    </row>
    <row r="954" spans="13:26">
      <c r="M954" s="324">
        <f>IF(ISNUMBER(SEARCH(ZAKL_DATA!$B$29,N954)),MAX($M$2:M953)+1,0)</f>
        <v>952</v>
      </c>
      <c r="N954" s="325" t="s">
        <v>3348</v>
      </c>
      <c r="O954" s="340" t="s">
        <v>3349</v>
      </c>
      <c r="Q954" s="327" t="str">
        <f>IFERROR(VLOOKUP(ROWS($Q$3:Q954),$M$3:$N$992,2,0),"")</f>
        <v>Ostatní rezervační a související činnosti j. n.</v>
      </c>
      <c r="R954">
        <f>IF(ISNUMBER(SEARCH('1Př1'!$A$32,N954)),MAX($M$2:M953)+1,0)</f>
        <v>952</v>
      </c>
      <c r="S954" s="325" t="s">
        <v>3348</v>
      </c>
      <c r="T954" t="str">
        <f>IFERROR(VLOOKUP(ROWS($T$3:T954),$R$3:$S$992,2,0),"")</f>
        <v>Ostatní rezervační a související činnosti j. n.</v>
      </c>
      <c r="U954">
        <f>IF(ISNUMBER(SEARCH('1Př1'!$A$33,N954)),MAX($M$2:M953)+1,0)</f>
        <v>952</v>
      </c>
      <c r="V954" s="325" t="s">
        <v>3348</v>
      </c>
      <c r="W954" t="str">
        <f>IFERROR(VLOOKUP(ROWS($W$3:W954),$U$3:$V$992,2,0),"")</f>
        <v>Ostatní rezervační a související činnosti j. n.</v>
      </c>
      <c r="X954">
        <f>IF(ISNUMBER(SEARCH('1Př1'!$A$34,N954)),MAX($M$2:M953)+1,0)</f>
        <v>952</v>
      </c>
      <c r="Y954" s="325" t="s">
        <v>3348</v>
      </c>
      <c r="Z954" t="str">
        <f>IFERROR(VLOOKUP(ROWS($Z$3:Z954),$X$3:$Y$992,2,0),"")</f>
        <v>Ostatní rezervační a související činnosti j. n.</v>
      </c>
    </row>
    <row r="955" spans="13:26">
      <c r="M955" s="324">
        <f>IF(ISNUMBER(SEARCH(ZAKL_DATA!$B$29,N955)),MAX($M$2:M954)+1,0)</f>
        <v>953</v>
      </c>
      <c r="N955" s="325" t="s">
        <v>3350</v>
      </c>
      <c r="O955" s="340" t="s">
        <v>3351</v>
      </c>
      <c r="Q955" s="327" t="str">
        <f>IFERROR(VLOOKUP(ROWS($Q$3:Q955),$M$3:$N$992,2,0),"")</f>
        <v>Pomoc cizím zemím při katastrof.nebo v nouz.sit.přímo nebo prostř.mez.org.</v>
      </c>
      <c r="R955">
        <f>IF(ISNUMBER(SEARCH('1Př1'!$A$32,N955)),MAX($M$2:M954)+1,0)</f>
        <v>953</v>
      </c>
      <c r="S955" s="325" t="s">
        <v>3350</v>
      </c>
      <c r="T955" t="str">
        <f>IFERROR(VLOOKUP(ROWS($T$3:T955),$R$3:$S$992,2,0),"")</f>
        <v>Pomoc cizím zemím při katastrof.nebo v nouz.sit.přímo nebo prostř.mez.org.</v>
      </c>
      <c r="U955">
        <f>IF(ISNUMBER(SEARCH('1Př1'!$A$33,N955)),MAX($M$2:M954)+1,0)</f>
        <v>953</v>
      </c>
      <c r="V955" s="325" t="s">
        <v>3350</v>
      </c>
      <c r="W955" t="str">
        <f>IFERROR(VLOOKUP(ROWS($W$3:W955),$U$3:$V$992,2,0),"")</f>
        <v>Pomoc cizím zemím při katastrof.nebo v nouz.sit.přímo nebo prostř.mez.org.</v>
      </c>
      <c r="X955">
        <f>IF(ISNUMBER(SEARCH('1Př1'!$A$34,N955)),MAX($M$2:M954)+1,0)</f>
        <v>953</v>
      </c>
      <c r="Y955" s="325" t="s">
        <v>3350</v>
      </c>
      <c r="Z955" t="str">
        <f>IFERROR(VLOOKUP(ROWS($Z$3:Z955),$X$3:$Y$992,2,0),"")</f>
        <v>Pomoc cizím zemím při katastrof.nebo v nouz.sit.přímo nebo prostř.mez.org.</v>
      </c>
    </row>
    <row r="956" spans="13:26">
      <c r="M956" s="324">
        <f>IF(ISNUMBER(SEARCH(ZAKL_DATA!$B$29,N956)),MAX($M$2:M955)+1,0)</f>
        <v>954</v>
      </c>
      <c r="N956" s="325" t="s">
        <v>3352</v>
      </c>
      <c r="O956" s="340" t="s">
        <v>3353</v>
      </c>
      <c r="Q956" s="327" t="str">
        <f>IFERROR(VLOOKUP(ROWS($Q$3:Q956),$M$3:$N$992,2,0),"")</f>
        <v>Rozvíjení vzájemného přátelství a porozumění mezi národy</v>
      </c>
      <c r="R956">
        <f>IF(ISNUMBER(SEARCH('1Př1'!$A$32,N956)),MAX($M$2:M955)+1,0)</f>
        <v>954</v>
      </c>
      <c r="S956" s="325" t="s">
        <v>3352</v>
      </c>
      <c r="T956" t="str">
        <f>IFERROR(VLOOKUP(ROWS($T$3:T956),$R$3:$S$992,2,0),"")</f>
        <v>Rozvíjení vzájemného přátelství a porozumění mezi národy</v>
      </c>
      <c r="U956">
        <f>IF(ISNUMBER(SEARCH('1Př1'!$A$33,N956)),MAX($M$2:M955)+1,0)</f>
        <v>954</v>
      </c>
      <c r="V956" s="325" t="s">
        <v>3352</v>
      </c>
      <c r="W956" t="str">
        <f>IFERROR(VLOOKUP(ROWS($W$3:W956),$U$3:$V$992,2,0),"")</f>
        <v>Rozvíjení vzájemného přátelství a porozumění mezi národy</v>
      </c>
      <c r="X956">
        <f>IF(ISNUMBER(SEARCH('1Př1'!$A$34,N956)),MAX($M$2:M955)+1,0)</f>
        <v>954</v>
      </c>
      <c r="Y956" s="325" t="s">
        <v>3352</v>
      </c>
      <c r="Z956" t="str">
        <f>IFERROR(VLOOKUP(ROWS($Z$3:Z956),$X$3:$Y$992,2,0),"")</f>
        <v>Rozvíjení vzájemného přátelství a porozumění mezi národy</v>
      </c>
    </row>
    <row r="957" spans="13:26">
      <c r="M957" s="324">
        <f>IF(ISNUMBER(SEARCH(ZAKL_DATA!$B$29,N957)),MAX($M$2:M956)+1,0)</f>
        <v>955</v>
      </c>
      <c r="N957" s="325" t="s">
        <v>3354</v>
      </c>
      <c r="O957" s="340" t="s">
        <v>3355</v>
      </c>
      <c r="Q957" s="327" t="str">
        <f>IFERROR(VLOOKUP(ROWS($Q$3:Q957),$M$3:$N$992,2,0),"")</f>
        <v>Ostatní činnosti v oblasti zahraničních věcí</v>
      </c>
      <c r="R957">
        <f>IF(ISNUMBER(SEARCH('1Př1'!$A$32,N957)),MAX($M$2:M956)+1,0)</f>
        <v>955</v>
      </c>
      <c r="S957" s="325" t="s">
        <v>3354</v>
      </c>
      <c r="T957" t="str">
        <f>IFERROR(VLOOKUP(ROWS($T$3:T957),$R$3:$S$992,2,0),"")</f>
        <v>Ostatní činnosti v oblasti zahraničních věcí</v>
      </c>
      <c r="U957">
        <f>IF(ISNUMBER(SEARCH('1Př1'!$A$33,N957)),MAX($M$2:M956)+1,0)</f>
        <v>955</v>
      </c>
      <c r="V957" s="325" t="s">
        <v>3354</v>
      </c>
      <c r="W957" t="str">
        <f>IFERROR(VLOOKUP(ROWS($W$3:W957),$U$3:$V$992,2,0),"")</f>
        <v>Ostatní činnosti v oblasti zahraničních věcí</v>
      </c>
      <c r="X957">
        <f>IF(ISNUMBER(SEARCH('1Př1'!$A$34,N957)),MAX($M$2:M956)+1,0)</f>
        <v>955</v>
      </c>
      <c r="Y957" s="325" t="s">
        <v>3354</v>
      </c>
      <c r="Z957" t="str">
        <f>IFERROR(VLOOKUP(ROWS($Z$3:Z957),$X$3:$Y$992,2,0),"")</f>
        <v>Ostatní činnosti v oblasti zahraničních věcí</v>
      </c>
    </row>
    <row r="958" spans="13:26">
      <c r="M958" s="324">
        <f>IF(ISNUMBER(SEARCH(ZAKL_DATA!$B$29,N958)),MAX($M$2:M957)+1,0)</f>
        <v>956</v>
      </c>
      <c r="N958" s="325" t="s">
        <v>3356</v>
      </c>
      <c r="O958" s="340" t="s">
        <v>3357</v>
      </c>
      <c r="Q958" s="327" t="str">
        <f>IFERROR(VLOOKUP(ROWS($Q$3:Q958),$M$3:$N$992,2,0),"")</f>
        <v>Základní vzdělávání na druhém stupni základních škol</v>
      </c>
      <c r="R958">
        <f>IF(ISNUMBER(SEARCH('1Př1'!$A$32,N958)),MAX($M$2:M957)+1,0)</f>
        <v>956</v>
      </c>
      <c r="S958" s="325" t="s">
        <v>3356</v>
      </c>
      <c r="T958" t="str">
        <f>IFERROR(VLOOKUP(ROWS($T$3:T958),$R$3:$S$992,2,0),"")</f>
        <v>Základní vzdělávání na druhém stupni základních škol</v>
      </c>
      <c r="U958">
        <f>IF(ISNUMBER(SEARCH('1Př1'!$A$33,N958)),MAX($M$2:M957)+1,0)</f>
        <v>956</v>
      </c>
      <c r="V958" s="325" t="s">
        <v>3356</v>
      </c>
      <c r="W958" t="str">
        <f>IFERROR(VLOOKUP(ROWS($W$3:W958),$U$3:$V$992,2,0),"")</f>
        <v>Základní vzdělávání na druhém stupni základních škol</v>
      </c>
      <c r="X958">
        <f>IF(ISNUMBER(SEARCH('1Př1'!$A$34,N958)),MAX($M$2:M957)+1,0)</f>
        <v>956</v>
      </c>
      <c r="Y958" s="325" t="s">
        <v>3356</v>
      </c>
      <c r="Z958" t="str">
        <f>IFERROR(VLOOKUP(ROWS($Z$3:Z958),$X$3:$Y$992,2,0),"")</f>
        <v>Základní vzdělávání na druhém stupni základních škol</v>
      </c>
    </row>
    <row r="959" spans="13:26">
      <c r="M959" s="324">
        <f>IF(ISNUMBER(SEARCH(ZAKL_DATA!$B$29,N959)),MAX($M$2:M958)+1,0)</f>
        <v>957</v>
      </c>
      <c r="N959" s="325" t="s">
        <v>3358</v>
      </c>
      <c r="O959" s="340" t="s">
        <v>3359</v>
      </c>
      <c r="Q959" s="327" t="str">
        <f>IFERROR(VLOOKUP(ROWS($Q$3:Q959),$M$3:$N$992,2,0),"")</f>
        <v>Střední všeobecné vzdělávání</v>
      </c>
      <c r="R959">
        <f>IF(ISNUMBER(SEARCH('1Př1'!$A$32,N959)),MAX($M$2:M958)+1,0)</f>
        <v>957</v>
      </c>
      <c r="S959" s="325" t="s">
        <v>3358</v>
      </c>
      <c r="T959" t="str">
        <f>IFERROR(VLOOKUP(ROWS($T$3:T959),$R$3:$S$992,2,0),"")</f>
        <v>Střední všeobecné vzdělávání</v>
      </c>
      <c r="U959">
        <f>IF(ISNUMBER(SEARCH('1Př1'!$A$33,N959)),MAX($M$2:M958)+1,0)</f>
        <v>957</v>
      </c>
      <c r="V959" s="325" t="s">
        <v>3358</v>
      </c>
      <c r="W959" t="str">
        <f>IFERROR(VLOOKUP(ROWS($W$3:W959),$U$3:$V$992,2,0),"")</f>
        <v>Střední všeobecné vzdělávání</v>
      </c>
      <c r="X959">
        <f>IF(ISNUMBER(SEARCH('1Př1'!$A$34,N959)),MAX($M$2:M958)+1,0)</f>
        <v>957</v>
      </c>
      <c r="Y959" s="325" t="s">
        <v>3358</v>
      </c>
      <c r="Z959" t="str">
        <f>IFERROR(VLOOKUP(ROWS($Z$3:Z959),$X$3:$Y$992,2,0),"")</f>
        <v>Střední všeobecné vzdělávání</v>
      </c>
    </row>
    <row r="960" spans="13:26">
      <c r="M960" s="324">
        <f>IF(ISNUMBER(SEARCH(ZAKL_DATA!$B$29,N960)),MAX($M$2:M959)+1,0)</f>
        <v>958</v>
      </c>
      <c r="N960" s="325" t="s">
        <v>3360</v>
      </c>
      <c r="O960" s="340" t="s">
        <v>3361</v>
      </c>
      <c r="Q960" s="327" t="str">
        <f>IFERROR(VLOOKUP(ROWS($Q$3:Q960),$M$3:$N$992,2,0),"")</f>
        <v>Střední odborné vzdělávání na učilištích</v>
      </c>
      <c r="R960">
        <f>IF(ISNUMBER(SEARCH('1Př1'!$A$32,N960)),MAX($M$2:M959)+1,0)</f>
        <v>958</v>
      </c>
      <c r="S960" s="325" t="s">
        <v>3360</v>
      </c>
      <c r="T960" t="str">
        <f>IFERROR(VLOOKUP(ROWS($T$3:T960),$R$3:$S$992,2,0),"")</f>
        <v>Střední odborné vzdělávání na učilištích</v>
      </c>
      <c r="U960">
        <f>IF(ISNUMBER(SEARCH('1Př1'!$A$33,N960)),MAX($M$2:M959)+1,0)</f>
        <v>958</v>
      </c>
      <c r="V960" s="325" t="s">
        <v>3360</v>
      </c>
      <c r="W960" t="str">
        <f>IFERROR(VLOOKUP(ROWS($W$3:W960),$U$3:$V$992,2,0),"")</f>
        <v>Střední odborné vzdělávání na učilištích</v>
      </c>
      <c r="X960">
        <f>IF(ISNUMBER(SEARCH('1Př1'!$A$34,N960)),MAX($M$2:M959)+1,0)</f>
        <v>958</v>
      </c>
      <c r="Y960" s="325" t="s">
        <v>3360</v>
      </c>
      <c r="Z960" t="str">
        <f>IFERROR(VLOOKUP(ROWS($Z$3:Z960),$X$3:$Y$992,2,0),"")</f>
        <v>Střední odborné vzdělávání na učilištích</v>
      </c>
    </row>
    <row r="961" spans="13:26">
      <c r="M961" s="324">
        <f>IF(ISNUMBER(SEARCH(ZAKL_DATA!$B$29,N961)),MAX($M$2:M960)+1,0)</f>
        <v>959</v>
      </c>
      <c r="N961" s="325" t="s">
        <v>3362</v>
      </c>
      <c r="O961" s="340" t="s">
        <v>3363</v>
      </c>
      <c r="Q961" s="327" t="str">
        <f>IFERROR(VLOOKUP(ROWS($Q$3:Q961),$M$3:$N$992,2,0),"")</f>
        <v>Střední odborné vzdělávání na středních odborných školách</v>
      </c>
      <c r="R961">
        <f>IF(ISNUMBER(SEARCH('1Př1'!$A$32,N961)),MAX($M$2:M960)+1,0)</f>
        <v>959</v>
      </c>
      <c r="S961" s="325" t="s">
        <v>3362</v>
      </c>
      <c r="T961" t="str">
        <f>IFERROR(VLOOKUP(ROWS($T$3:T961),$R$3:$S$992,2,0),"")</f>
        <v>Střední odborné vzdělávání na středních odborných školách</v>
      </c>
      <c r="U961">
        <f>IF(ISNUMBER(SEARCH('1Př1'!$A$33,N961)),MAX($M$2:M960)+1,0)</f>
        <v>959</v>
      </c>
      <c r="V961" s="325" t="s">
        <v>3362</v>
      </c>
      <c r="W961" t="str">
        <f>IFERROR(VLOOKUP(ROWS($W$3:W961),$U$3:$V$992,2,0),"")</f>
        <v>Střední odborné vzdělávání na středních odborných školách</v>
      </c>
      <c r="X961">
        <f>IF(ISNUMBER(SEARCH('1Př1'!$A$34,N961)),MAX($M$2:M960)+1,0)</f>
        <v>959</v>
      </c>
      <c r="Y961" s="325" t="s">
        <v>3362</v>
      </c>
      <c r="Z961" t="str">
        <f>IFERROR(VLOOKUP(ROWS($Z$3:Z961),$X$3:$Y$992,2,0),"")</f>
        <v>Střední odborné vzdělávání na středních odborných školách</v>
      </c>
    </row>
    <row r="962" spans="13:26">
      <c r="M962" s="324">
        <f>IF(ISNUMBER(SEARCH(ZAKL_DATA!$B$29,N962)),MAX($M$2:M961)+1,0)</f>
        <v>960</v>
      </c>
      <c r="N962" s="325" t="s">
        <v>3364</v>
      </c>
      <c r="O962" s="340" t="s">
        <v>3365</v>
      </c>
      <c r="Q962" s="327" t="str">
        <f>IFERROR(VLOOKUP(ROWS($Q$3:Q962),$M$3:$N$992,2,0),"")</f>
        <v>Činnosti autoškol</v>
      </c>
      <c r="R962">
        <f>IF(ISNUMBER(SEARCH('1Př1'!$A$32,N962)),MAX($M$2:M961)+1,0)</f>
        <v>960</v>
      </c>
      <c r="S962" s="325" t="s">
        <v>3364</v>
      </c>
      <c r="T962" t="str">
        <f>IFERROR(VLOOKUP(ROWS($T$3:T962),$R$3:$S$992,2,0),"")</f>
        <v>Činnosti autoškol</v>
      </c>
      <c r="U962">
        <f>IF(ISNUMBER(SEARCH('1Př1'!$A$33,N962)),MAX($M$2:M961)+1,0)</f>
        <v>960</v>
      </c>
      <c r="V962" s="325" t="s">
        <v>3364</v>
      </c>
      <c r="W962" t="str">
        <f>IFERROR(VLOOKUP(ROWS($W$3:W962),$U$3:$V$992,2,0),"")</f>
        <v>Činnosti autoškol</v>
      </c>
      <c r="X962">
        <f>IF(ISNUMBER(SEARCH('1Př1'!$A$34,N962)),MAX($M$2:M961)+1,0)</f>
        <v>960</v>
      </c>
      <c r="Y962" s="325" t="s">
        <v>3364</v>
      </c>
      <c r="Z962" t="str">
        <f>IFERROR(VLOOKUP(ROWS($Z$3:Z962),$X$3:$Y$992,2,0),"")</f>
        <v>Činnosti autoškol</v>
      </c>
    </row>
    <row r="963" spans="13:26">
      <c r="M963" s="324">
        <f>IF(ISNUMBER(SEARCH(ZAKL_DATA!$B$29,N963)),MAX($M$2:M962)+1,0)</f>
        <v>961</v>
      </c>
      <c r="N963" s="325" t="s">
        <v>3366</v>
      </c>
      <c r="O963" s="340" t="s">
        <v>3367</v>
      </c>
      <c r="Q963" s="327" t="str">
        <f>IFERROR(VLOOKUP(ROWS($Q$3:Q963),$M$3:$N$992,2,0),"")</f>
        <v>Činnosti leteckých škol</v>
      </c>
      <c r="R963">
        <f>IF(ISNUMBER(SEARCH('1Př1'!$A$32,N963)),MAX($M$2:M962)+1,0)</f>
        <v>961</v>
      </c>
      <c r="S963" s="325" t="s">
        <v>3366</v>
      </c>
      <c r="T963" t="str">
        <f>IFERROR(VLOOKUP(ROWS($T$3:T963),$R$3:$S$992,2,0),"")</f>
        <v>Činnosti leteckých škol</v>
      </c>
      <c r="U963">
        <f>IF(ISNUMBER(SEARCH('1Př1'!$A$33,N963)),MAX($M$2:M962)+1,0)</f>
        <v>961</v>
      </c>
      <c r="V963" s="325" t="s">
        <v>3366</v>
      </c>
      <c r="W963" t="str">
        <f>IFERROR(VLOOKUP(ROWS($W$3:W963),$U$3:$V$992,2,0),"")</f>
        <v>Činnosti leteckých škol</v>
      </c>
      <c r="X963">
        <f>IF(ISNUMBER(SEARCH('1Př1'!$A$34,N963)),MAX($M$2:M962)+1,0)</f>
        <v>961</v>
      </c>
      <c r="Y963" s="325" t="s">
        <v>3366</v>
      </c>
      <c r="Z963" t="str">
        <f>IFERROR(VLOOKUP(ROWS($Z$3:Z963),$X$3:$Y$992,2,0),"")</f>
        <v>Činnosti leteckých škol</v>
      </c>
    </row>
    <row r="964" spans="13:26">
      <c r="M964" s="324">
        <f>IF(ISNUMBER(SEARCH(ZAKL_DATA!$B$29,N964)),MAX($M$2:M963)+1,0)</f>
        <v>962</v>
      </c>
      <c r="N964" s="325" t="s">
        <v>3368</v>
      </c>
      <c r="O964" s="340" t="s">
        <v>3369</v>
      </c>
      <c r="Q964" s="327" t="str">
        <f>IFERROR(VLOOKUP(ROWS($Q$3:Q964),$M$3:$N$992,2,0),"")</f>
        <v>Činnosti ostatních škol řízení</v>
      </c>
      <c r="R964">
        <f>IF(ISNUMBER(SEARCH('1Př1'!$A$32,N964)),MAX($M$2:M963)+1,0)</f>
        <v>962</v>
      </c>
      <c r="S964" s="325" t="s">
        <v>3368</v>
      </c>
      <c r="T964" t="str">
        <f>IFERROR(VLOOKUP(ROWS($T$3:T964),$R$3:$S$992,2,0),"")</f>
        <v>Činnosti ostatních škol řízení</v>
      </c>
      <c r="U964">
        <f>IF(ISNUMBER(SEARCH('1Př1'!$A$33,N964)),MAX($M$2:M963)+1,0)</f>
        <v>962</v>
      </c>
      <c r="V964" s="325" t="s">
        <v>3368</v>
      </c>
      <c r="W964" t="str">
        <f>IFERROR(VLOOKUP(ROWS($W$3:W964),$U$3:$V$992,2,0),"")</f>
        <v>Činnosti ostatních škol řízení</v>
      </c>
      <c r="X964">
        <f>IF(ISNUMBER(SEARCH('1Př1'!$A$34,N964)),MAX($M$2:M963)+1,0)</f>
        <v>962</v>
      </c>
      <c r="Y964" s="325" t="s">
        <v>3368</v>
      </c>
      <c r="Z964" t="str">
        <f>IFERROR(VLOOKUP(ROWS($Z$3:Z964),$X$3:$Y$992,2,0),"")</f>
        <v>Činnosti ostatních škol řízení</v>
      </c>
    </row>
    <row r="965" spans="13:26">
      <c r="M965" s="324">
        <f>IF(ISNUMBER(SEARCH(ZAKL_DATA!$B$29,N965)),MAX($M$2:M964)+1,0)</f>
        <v>963</v>
      </c>
      <c r="N965" s="325" t="s">
        <v>3370</v>
      </c>
      <c r="O965" s="340" t="s">
        <v>3371</v>
      </c>
      <c r="Q965" s="327" t="str">
        <f>IFERROR(VLOOKUP(ROWS($Q$3:Q965),$M$3:$N$992,2,0),"")</f>
        <v>Vzdělávání v jazykových školách</v>
      </c>
      <c r="R965">
        <f>IF(ISNUMBER(SEARCH('1Př1'!$A$32,N965)),MAX($M$2:M964)+1,0)</f>
        <v>963</v>
      </c>
      <c r="S965" s="325" t="s">
        <v>3370</v>
      </c>
      <c r="T965" t="str">
        <f>IFERROR(VLOOKUP(ROWS($T$3:T965),$R$3:$S$992,2,0),"")</f>
        <v>Vzdělávání v jazykových školách</v>
      </c>
      <c r="U965">
        <f>IF(ISNUMBER(SEARCH('1Př1'!$A$33,N965)),MAX($M$2:M964)+1,0)</f>
        <v>963</v>
      </c>
      <c r="V965" s="325" t="s">
        <v>3370</v>
      </c>
      <c r="W965" t="str">
        <f>IFERROR(VLOOKUP(ROWS($W$3:W965),$U$3:$V$992,2,0),"")</f>
        <v>Vzdělávání v jazykových školách</v>
      </c>
      <c r="X965">
        <f>IF(ISNUMBER(SEARCH('1Př1'!$A$34,N965)),MAX($M$2:M964)+1,0)</f>
        <v>963</v>
      </c>
      <c r="Y965" s="325" t="s">
        <v>3370</v>
      </c>
      <c r="Z965" t="str">
        <f>IFERROR(VLOOKUP(ROWS($Z$3:Z965),$X$3:$Y$992,2,0),"")</f>
        <v>Vzdělávání v jazykových školách</v>
      </c>
    </row>
    <row r="966" spans="13:26">
      <c r="M966" s="324">
        <f>IF(ISNUMBER(SEARCH(ZAKL_DATA!$B$29,N966)),MAX($M$2:M965)+1,0)</f>
        <v>964</v>
      </c>
      <c r="N966" s="325" t="s">
        <v>3372</v>
      </c>
      <c r="O966" s="340" t="s">
        <v>3373</v>
      </c>
      <c r="Q966" s="327" t="str">
        <f>IFERROR(VLOOKUP(ROWS($Q$3:Q966),$M$3:$N$992,2,0),"")</f>
        <v>Environmentální vzdělávání</v>
      </c>
      <c r="R966">
        <f>IF(ISNUMBER(SEARCH('1Př1'!$A$32,N966)),MAX($M$2:M965)+1,0)</f>
        <v>964</v>
      </c>
      <c r="S966" s="325" t="s">
        <v>3372</v>
      </c>
      <c r="T966" t="str">
        <f>IFERROR(VLOOKUP(ROWS($T$3:T966),$R$3:$S$992,2,0),"")</f>
        <v>Environmentální vzdělávání</v>
      </c>
      <c r="U966">
        <f>IF(ISNUMBER(SEARCH('1Př1'!$A$33,N966)),MAX($M$2:M965)+1,0)</f>
        <v>964</v>
      </c>
      <c r="V966" s="325" t="s">
        <v>3372</v>
      </c>
      <c r="W966" t="str">
        <f>IFERROR(VLOOKUP(ROWS($W$3:W966),$U$3:$V$992,2,0),"")</f>
        <v>Environmentální vzdělávání</v>
      </c>
      <c r="X966">
        <f>IF(ISNUMBER(SEARCH('1Př1'!$A$34,N966)),MAX($M$2:M965)+1,0)</f>
        <v>964</v>
      </c>
      <c r="Y966" s="325" t="s">
        <v>3372</v>
      </c>
      <c r="Z966" t="str">
        <f>IFERROR(VLOOKUP(ROWS($Z$3:Z966),$X$3:$Y$992,2,0),"")</f>
        <v>Environmentální vzdělávání</v>
      </c>
    </row>
    <row r="967" spans="13:26">
      <c r="M967" s="324">
        <f>IF(ISNUMBER(SEARCH(ZAKL_DATA!$B$29,N967)),MAX($M$2:M966)+1,0)</f>
        <v>965</v>
      </c>
      <c r="N967" s="325" t="s">
        <v>3374</v>
      </c>
      <c r="O967" s="340" t="s">
        <v>3375</v>
      </c>
      <c r="Q967" s="327" t="str">
        <f>IFERROR(VLOOKUP(ROWS($Q$3:Q967),$M$3:$N$992,2,0),"")</f>
        <v>Inovační vzdělávání</v>
      </c>
      <c r="R967">
        <f>IF(ISNUMBER(SEARCH('1Př1'!$A$32,N967)),MAX($M$2:M966)+1,0)</f>
        <v>965</v>
      </c>
      <c r="S967" s="325" t="s">
        <v>3374</v>
      </c>
      <c r="T967" t="str">
        <f>IFERROR(VLOOKUP(ROWS($T$3:T967),$R$3:$S$992,2,0),"")</f>
        <v>Inovační vzdělávání</v>
      </c>
      <c r="U967">
        <f>IF(ISNUMBER(SEARCH('1Př1'!$A$33,N967)),MAX($M$2:M966)+1,0)</f>
        <v>965</v>
      </c>
      <c r="V967" s="325" t="s">
        <v>3374</v>
      </c>
      <c r="W967" t="str">
        <f>IFERROR(VLOOKUP(ROWS($W$3:W967),$U$3:$V$992,2,0),"")</f>
        <v>Inovační vzdělávání</v>
      </c>
      <c r="X967">
        <f>IF(ISNUMBER(SEARCH('1Př1'!$A$34,N967)),MAX($M$2:M966)+1,0)</f>
        <v>965</v>
      </c>
      <c r="Y967" s="325" t="s">
        <v>3374</v>
      </c>
      <c r="Z967" t="str">
        <f>IFERROR(VLOOKUP(ROWS($Z$3:Z967),$X$3:$Y$992,2,0),"")</f>
        <v>Inovační vzdělávání</v>
      </c>
    </row>
    <row r="968" spans="13:26">
      <c r="M968" s="324">
        <f>IF(ISNUMBER(SEARCH(ZAKL_DATA!$B$29,N968)),MAX($M$2:M967)+1,0)</f>
        <v>966</v>
      </c>
      <c r="N968" s="325" t="s">
        <v>3376</v>
      </c>
      <c r="O968" s="340" t="s">
        <v>3377</v>
      </c>
      <c r="Q968" s="327" t="str">
        <f>IFERROR(VLOOKUP(ROWS($Q$3:Q968),$M$3:$N$992,2,0),"")</f>
        <v>Jiné vzdělávání j. n.</v>
      </c>
      <c r="R968">
        <f>IF(ISNUMBER(SEARCH('1Př1'!$A$32,N968)),MAX($M$2:M967)+1,0)</f>
        <v>966</v>
      </c>
      <c r="S968" s="325" t="s">
        <v>3376</v>
      </c>
      <c r="T968" t="str">
        <f>IFERROR(VLOOKUP(ROWS($T$3:T968),$R$3:$S$992,2,0),"")</f>
        <v>Jiné vzdělávání j. n.</v>
      </c>
      <c r="U968">
        <f>IF(ISNUMBER(SEARCH('1Př1'!$A$33,N968)),MAX($M$2:M967)+1,0)</f>
        <v>966</v>
      </c>
      <c r="V968" s="325" t="s">
        <v>3376</v>
      </c>
      <c r="W968" t="str">
        <f>IFERROR(VLOOKUP(ROWS($W$3:W968),$U$3:$V$992,2,0),"")</f>
        <v>Jiné vzdělávání j. n.</v>
      </c>
      <c r="X968">
        <f>IF(ISNUMBER(SEARCH('1Př1'!$A$34,N968)),MAX($M$2:M967)+1,0)</f>
        <v>966</v>
      </c>
      <c r="Y968" s="325" t="s">
        <v>3376</v>
      </c>
      <c r="Z968" t="str">
        <f>IFERROR(VLOOKUP(ROWS($Z$3:Z968),$X$3:$Y$992,2,0),"")</f>
        <v>Jiné vzdělávání j. n.</v>
      </c>
    </row>
    <row r="969" spans="13:26">
      <c r="M969" s="324">
        <f>IF(ISNUMBER(SEARCH(ZAKL_DATA!$B$29,N969)),MAX($M$2:M968)+1,0)</f>
        <v>967</v>
      </c>
      <c r="N969" s="325" t="s">
        <v>3378</v>
      </c>
      <c r="O969" s="340" t="s">
        <v>3379</v>
      </c>
      <c r="Q969" s="327" t="str">
        <f>IFERROR(VLOOKUP(ROWS($Q$3:Q969),$M$3:$N$992,2,0),"")</f>
        <v>Činnosti související s ochranou veřejného zdraví</v>
      </c>
      <c r="R969">
        <f>IF(ISNUMBER(SEARCH('1Př1'!$A$32,N969)),MAX($M$2:M968)+1,0)</f>
        <v>967</v>
      </c>
      <c r="S969" s="325" t="s">
        <v>3378</v>
      </c>
      <c r="T969" t="str">
        <f>IFERROR(VLOOKUP(ROWS($T$3:T969),$R$3:$S$992,2,0),"")</f>
        <v>Činnosti související s ochranou veřejného zdraví</v>
      </c>
      <c r="U969">
        <f>IF(ISNUMBER(SEARCH('1Př1'!$A$33,N969)),MAX($M$2:M968)+1,0)</f>
        <v>967</v>
      </c>
      <c r="V969" s="325" t="s">
        <v>3378</v>
      </c>
      <c r="W969" t="str">
        <f>IFERROR(VLOOKUP(ROWS($W$3:W969),$U$3:$V$992,2,0),"")</f>
        <v>Činnosti související s ochranou veřejného zdraví</v>
      </c>
      <c r="X969">
        <f>IF(ISNUMBER(SEARCH('1Př1'!$A$34,N969)),MAX($M$2:M968)+1,0)</f>
        <v>967</v>
      </c>
      <c r="Y969" s="325" t="s">
        <v>3378</v>
      </c>
      <c r="Z969" t="str">
        <f>IFERROR(VLOOKUP(ROWS($Z$3:Z969),$X$3:$Y$992,2,0),"")</f>
        <v>Činnosti související s ochranou veřejného zdraví</v>
      </c>
    </row>
    <row r="970" spans="13:26">
      <c r="M970" s="324">
        <f>IF(ISNUMBER(SEARCH(ZAKL_DATA!$B$29,N970)),MAX($M$2:M969)+1,0)</f>
        <v>968</v>
      </c>
      <c r="N970" s="325" t="s">
        <v>3380</v>
      </c>
      <c r="O970" s="340" t="s">
        <v>3381</v>
      </c>
      <c r="Q970" s="327" t="str">
        <f>IFERROR(VLOOKUP(ROWS($Q$3:Q970),$M$3:$N$992,2,0),"")</f>
        <v>Ostatní činnosti související se zdravotní péčí j. n.</v>
      </c>
      <c r="R970">
        <f>IF(ISNUMBER(SEARCH('1Př1'!$A$32,N970)),MAX($M$2:M969)+1,0)</f>
        <v>968</v>
      </c>
      <c r="S970" s="325" t="s">
        <v>3380</v>
      </c>
      <c r="T970" t="str">
        <f>IFERROR(VLOOKUP(ROWS($T$3:T970),$R$3:$S$992,2,0),"")</f>
        <v>Ostatní činnosti související se zdravotní péčí j. n.</v>
      </c>
      <c r="U970">
        <f>IF(ISNUMBER(SEARCH('1Př1'!$A$33,N970)),MAX($M$2:M969)+1,0)</f>
        <v>968</v>
      </c>
      <c r="V970" s="325" t="s">
        <v>3380</v>
      </c>
      <c r="W970" t="str">
        <f>IFERROR(VLOOKUP(ROWS($W$3:W970),$U$3:$V$992,2,0),"")</f>
        <v>Ostatní činnosti související se zdravotní péčí j. n.</v>
      </c>
      <c r="X970">
        <f>IF(ISNUMBER(SEARCH('1Př1'!$A$34,N970)),MAX($M$2:M969)+1,0)</f>
        <v>968</v>
      </c>
      <c r="Y970" s="325" t="s">
        <v>3380</v>
      </c>
      <c r="Z970" t="str">
        <f>IFERROR(VLOOKUP(ROWS($Z$3:Z970),$X$3:$Y$992,2,0),"")</f>
        <v>Ostatní činnosti související se zdravotní péčí j. n.</v>
      </c>
    </row>
    <row r="971" spans="13:26">
      <c r="M971" s="324">
        <f>IF(ISNUMBER(SEARCH(ZAKL_DATA!$B$29,N971)),MAX($M$2:M970)+1,0)</f>
        <v>969</v>
      </c>
      <c r="N971" s="325" t="s">
        <v>3382</v>
      </c>
      <c r="O971" s="340" t="s">
        <v>3383</v>
      </c>
      <c r="Q971" s="327" t="str">
        <f>IFERROR(VLOOKUP(ROWS($Q$3:Q971),$M$3:$N$992,2,0),"")</f>
        <v>Sociální péče v zařízeních pro osoby s chronickým duševním onemocněním</v>
      </c>
      <c r="R971">
        <f>IF(ISNUMBER(SEARCH('1Př1'!$A$32,N971)),MAX($M$2:M970)+1,0)</f>
        <v>969</v>
      </c>
      <c r="S971" s="325" t="s">
        <v>3382</v>
      </c>
      <c r="T971" t="str">
        <f>IFERROR(VLOOKUP(ROWS($T$3:T971),$R$3:$S$992,2,0),"")</f>
        <v>Sociální péče v zařízeních pro osoby s chronickým duševním onemocněním</v>
      </c>
      <c r="U971">
        <f>IF(ISNUMBER(SEARCH('1Př1'!$A$33,N971)),MAX($M$2:M970)+1,0)</f>
        <v>969</v>
      </c>
      <c r="V971" s="325" t="s">
        <v>3382</v>
      </c>
      <c r="W971" t="str">
        <f>IFERROR(VLOOKUP(ROWS($W$3:W971),$U$3:$V$992,2,0),"")</f>
        <v>Sociální péče v zařízeních pro osoby s chronickým duševním onemocněním</v>
      </c>
      <c r="X971">
        <f>IF(ISNUMBER(SEARCH('1Př1'!$A$34,N971)),MAX($M$2:M970)+1,0)</f>
        <v>969</v>
      </c>
      <c r="Y971" s="325" t="s">
        <v>3382</v>
      </c>
      <c r="Z971" t="str">
        <f>IFERROR(VLOOKUP(ROWS($Z$3:Z971),$X$3:$Y$992,2,0),"")</f>
        <v>Sociální péče v zařízeních pro osoby s chronickým duševním onemocněním</v>
      </c>
    </row>
    <row r="972" spans="13:26">
      <c r="M972" s="324">
        <f>IF(ISNUMBER(SEARCH(ZAKL_DATA!$B$29,N972)),MAX($M$2:M971)+1,0)</f>
        <v>970</v>
      </c>
      <c r="N972" s="325" t="s">
        <v>3384</v>
      </c>
      <c r="O972" s="340" t="s">
        <v>3385</v>
      </c>
      <c r="Q972" s="327" t="str">
        <f>IFERROR(VLOOKUP(ROWS($Q$3:Q972),$M$3:$N$992,2,0),"")</f>
        <v>Sociální péče v zařízeních pro osoby závislé na návykových látkách</v>
      </c>
      <c r="R972">
        <f>IF(ISNUMBER(SEARCH('1Př1'!$A$32,N972)),MAX($M$2:M971)+1,0)</f>
        <v>970</v>
      </c>
      <c r="S972" s="325" t="s">
        <v>3384</v>
      </c>
      <c r="T972" t="str">
        <f>IFERROR(VLOOKUP(ROWS($T$3:T972),$R$3:$S$992,2,0),"")</f>
        <v>Sociální péče v zařízeních pro osoby závislé na návykových látkách</v>
      </c>
      <c r="U972">
        <f>IF(ISNUMBER(SEARCH('1Př1'!$A$33,N972)),MAX($M$2:M971)+1,0)</f>
        <v>970</v>
      </c>
      <c r="V972" s="325" t="s">
        <v>3384</v>
      </c>
      <c r="W972" t="str">
        <f>IFERROR(VLOOKUP(ROWS($W$3:W972),$U$3:$V$992,2,0),"")</f>
        <v>Sociální péče v zařízeních pro osoby závislé na návykových látkách</v>
      </c>
      <c r="X972">
        <f>IF(ISNUMBER(SEARCH('1Př1'!$A$34,N972)),MAX($M$2:M971)+1,0)</f>
        <v>970</v>
      </c>
      <c r="Y972" s="325" t="s">
        <v>3384</v>
      </c>
      <c r="Z972" t="str">
        <f>IFERROR(VLOOKUP(ROWS($Z$3:Z972),$X$3:$Y$992,2,0),"")</f>
        <v>Sociální péče v zařízeních pro osoby závislé na návykových látkách</v>
      </c>
    </row>
    <row r="973" spans="13:26">
      <c r="M973" s="324">
        <f>IF(ISNUMBER(SEARCH(ZAKL_DATA!$B$29,N973)),MAX($M$2:M972)+1,0)</f>
        <v>971</v>
      </c>
      <c r="N973" s="325" t="s">
        <v>3386</v>
      </c>
      <c r="O973" s="340" t="s">
        <v>3387</v>
      </c>
      <c r="Q973" s="327" t="str">
        <f>IFERROR(VLOOKUP(ROWS($Q$3:Q973),$M$3:$N$992,2,0),"")</f>
        <v>Sociální péče v domovech pro seniory</v>
      </c>
      <c r="R973">
        <f>IF(ISNUMBER(SEARCH('1Př1'!$A$32,N973)),MAX($M$2:M972)+1,0)</f>
        <v>971</v>
      </c>
      <c r="S973" s="325" t="s">
        <v>3386</v>
      </c>
      <c r="T973" t="str">
        <f>IFERROR(VLOOKUP(ROWS($T$3:T973),$R$3:$S$992,2,0),"")</f>
        <v>Sociální péče v domovech pro seniory</v>
      </c>
      <c r="U973">
        <f>IF(ISNUMBER(SEARCH('1Př1'!$A$33,N973)),MAX($M$2:M972)+1,0)</f>
        <v>971</v>
      </c>
      <c r="V973" s="325" t="s">
        <v>3386</v>
      </c>
      <c r="W973" t="str">
        <f>IFERROR(VLOOKUP(ROWS($W$3:W973),$U$3:$V$992,2,0),"")</f>
        <v>Sociální péče v domovech pro seniory</v>
      </c>
      <c r="X973">
        <f>IF(ISNUMBER(SEARCH('1Př1'!$A$34,N973)),MAX($M$2:M972)+1,0)</f>
        <v>971</v>
      </c>
      <c r="Y973" s="325" t="s">
        <v>3386</v>
      </c>
      <c r="Z973" t="str">
        <f>IFERROR(VLOOKUP(ROWS($Z$3:Z973),$X$3:$Y$992,2,0),"")</f>
        <v>Sociální péče v domovech pro seniory</v>
      </c>
    </row>
    <row r="974" spans="13:26">
      <c r="M974" s="324">
        <f>IF(ISNUMBER(SEARCH(ZAKL_DATA!$B$29,N974)),MAX($M$2:M973)+1,0)</f>
        <v>972</v>
      </c>
      <c r="N974" s="325" t="s">
        <v>3388</v>
      </c>
      <c r="O974" s="340" t="s">
        <v>3389</v>
      </c>
      <c r="Q974" s="327" t="str">
        <f>IFERROR(VLOOKUP(ROWS($Q$3:Q974),$M$3:$N$992,2,0),"")</f>
        <v>Sociální péče v domovech pro osoby se zdravotním postižením</v>
      </c>
      <c r="R974">
        <f>IF(ISNUMBER(SEARCH('1Př1'!$A$32,N974)),MAX($M$2:M973)+1,0)</f>
        <v>972</v>
      </c>
      <c r="S974" s="325" t="s">
        <v>3388</v>
      </c>
      <c r="T974" t="str">
        <f>IFERROR(VLOOKUP(ROWS($T$3:T974),$R$3:$S$992,2,0),"")</f>
        <v>Sociální péče v domovech pro osoby se zdravotním postižením</v>
      </c>
      <c r="U974">
        <f>IF(ISNUMBER(SEARCH('1Př1'!$A$33,N974)),MAX($M$2:M973)+1,0)</f>
        <v>972</v>
      </c>
      <c r="V974" s="325" t="s">
        <v>3388</v>
      </c>
      <c r="W974" t="str">
        <f>IFERROR(VLOOKUP(ROWS($W$3:W974),$U$3:$V$992,2,0),"")</f>
        <v>Sociální péče v domovech pro osoby se zdravotním postižením</v>
      </c>
      <c r="X974">
        <f>IF(ISNUMBER(SEARCH('1Př1'!$A$34,N974)),MAX($M$2:M973)+1,0)</f>
        <v>972</v>
      </c>
      <c r="Y974" s="325" t="s">
        <v>3388</v>
      </c>
      <c r="Z974" t="str">
        <f>IFERROR(VLOOKUP(ROWS($Z$3:Z974),$X$3:$Y$992,2,0),"")</f>
        <v>Sociální péče v domovech pro osoby se zdravotním postižením</v>
      </c>
    </row>
    <row r="975" spans="13:26">
      <c r="M975" s="324">
        <f>IF(ISNUMBER(SEARCH(ZAKL_DATA!$B$29,N975)),MAX($M$2:M974)+1,0)</f>
        <v>973</v>
      </c>
      <c r="N975" s="325" t="s">
        <v>3390</v>
      </c>
      <c r="O975" s="340" t="s">
        <v>2196</v>
      </c>
      <c r="Q975" s="327" t="str">
        <f>IFERROR(VLOOKUP(ROWS($Q$3:Q975),$M$3:$N$992,2,0),"")</f>
        <v>Mimoústavní sociální péče o seniory a zdravotně postižené osoby</v>
      </c>
      <c r="R975">
        <f>IF(ISNUMBER(SEARCH('1Př1'!$A$32,N975)),MAX($M$2:M974)+1,0)</f>
        <v>973</v>
      </c>
      <c r="S975" s="325" t="s">
        <v>3390</v>
      </c>
      <c r="T975" t="str">
        <f>IFERROR(VLOOKUP(ROWS($T$3:T975),$R$3:$S$992,2,0),"")</f>
        <v>Mimoústavní sociální péče o seniory a zdravotně postižené osoby</v>
      </c>
      <c r="U975">
        <f>IF(ISNUMBER(SEARCH('1Př1'!$A$33,N975)),MAX($M$2:M974)+1,0)</f>
        <v>973</v>
      </c>
      <c r="V975" s="325" t="s">
        <v>3390</v>
      </c>
      <c r="W975" t="str">
        <f>IFERROR(VLOOKUP(ROWS($W$3:W975),$U$3:$V$992,2,0),"")</f>
        <v>Mimoústavní sociální péče o seniory a zdravotně postižené osoby</v>
      </c>
      <c r="X975">
        <f>IF(ISNUMBER(SEARCH('1Př1'!$A$34,N975)),MAX($M$2:M974)+1,0)</f>
        <v>973</v>
      </c>
      <c r="Y975" s="325" t="s">
        <v>3390</v>
      </c>
      <c r="Z975" t="str">
        <f>IFERROR(VLOOKUP(ROWS($Z$3:Z975),$X$3:$Y$992,2,0),"")</f>
        <v>Mimoústavní sociální péče o seniory a zdravotně postižené osoby</v>
      </c>
    </row>
    <row r="976" spans="13:26">
      <c r="M976" s="324">
        <f>IF(ISNUMBER(SEARCH(ZAKL_DATA!$B$29,N976)),MAX($M$2:M975)+1,0)</f>
        <v>974</v>
      </c>
      <c r="N976" s="325" t="s">
        <v>3391</v>
      </c>
      <c r="O976" s="340" t="s">
        <v>3392</v>
      </c>
      <c r="Q976" s="327" t="str">
        <f>IFERROR(VLOOKUP(ROWS($Q$3:Q976),$M$3:$N$992,2,0),"")</f>
        <v>Ambulantní nebo terénní sociální služby pro seniory</v>
      </c>
      <c r="R976">
        <f>IF(ISNUMBER(SEARCH('1Př1'!$A$32,N976)),MAX($M$2:M975)+1,0)</f>
        <v>974</v>
      </c>
      <c r="S976" s="325" t="s">
        <v>3391</v>
      </c>
      <c r="T976" t="str">
        <f>IFERROR(VLOOKUP(ROWS($T$3:T976),$R$3:$S$992,2,0),"")</f>
        <v>Ambulantní nebo terénní sociální služby pro seniory</v>
      </c>
      <c r="U976">
        <f>IF(ISNUMBER(SEARCH('1Př1'!$A$33,N976)),MAX($M$2:M975)+1,0)</f>
        <v>974</v>
      </c>
      <c r="V976" s="325" t="s">
        <v>3391</v>
      </c>
      <c r="W976" t="str">
        <f>IFERROR(VLOOKUP(ROWS($W$3:W976),$U$3:$V$992,2,0),"")</f>
        <v>Ambulantní nebo terénní sociální služby pro seniory</v>
      </c>
      <c r="X976">
        <f>IF(ISNUMBER(SEARCH('1Př1'!$A$34,N976)),MAX($M$2:M975)+1,0)</f>
        <v>974</v>
      </c>
      <c r="Y976" s="325" t="s">
        <v>3391</v>
      </c>
      <c r="Z976" t="str">
        <f>IFERROR(VLOOKUP(ROWS($Z$3:Z976),$X$3:$Y$992,2,0),"")</f>
        <v>Ambulantní nebo terénní sociální služby pro seniory</v>
      </c>
    </row>
    <row r="977" spans="13:26">
      <c r="M977" s="324">
        <f>IF(ISNUMBER(SEARCH(ZAKL_DATA!$B$29,N977)),MAX($M$2:M976)+1,0)</f>
        <v>975</v>
      </c>
      <c r="N977" s="325" t="s">
        <v>3393</v>
      </c>
      <c r="O977" s="340" t="s">
        <v>3394</v>
      </c>
      <c r="Q977" s="327" t="str">
        <f>IFERROR(VLOOKUP(ROWS($Q$3:Q977),$M$3:$N$992,2,0),"")</f>
        <v>Ambulantní nebo terénní sociální služby pro osoby se zdrav.postižením</v>
      </c>
      <c r="R977">
        <f>IF(ISNUMBER(SEARCH('1Př1'!$A$32,N977)),MAX($M$2:M976)+1,0)</f>
        <v>975</v>
      </c>
      <c r="S977" s="325" t="s">
        <v>3393</v>
      </c>
      <c r="T977" t="str">
        <f>IFERROR(VLOOKUP(ROWS($T$3:T977),$R$3:$S$992,2,0),"")</f>
        <v>Ambulantní nebo terénní sociální služby pro osoby se zdrav.postižením</v>
      </c>
      <c r="U977">
        <f>IF(ISNUMBER(SEARCH('1Př1'!$A$33,N977)),MAX($M$2:M976)+1,0)</f>
        <v>975</v>
      </c>
      <c r="V977" s="325" t="s">
        <v>3393</v>
      </c>
      <c r="W977" t="str">
        <f>IFERROR(VLOOKUP(ROWS($W$3:W977),$U$3:$V$992,2,0),"")</f>
        <v>Ambulantní nebo terénní sociální služby pro osoby se zdrav.postižením</v>
      </c>
      <c r="X977">
        <f>IF(ISNUMBER(SEARCH('1Př1'!$A$34,N977)),MAX($M$2:M976)+1,0)</f>
        <v>975</v>
      </c>
      <c r="Y977" s="325" t="s">
        <v>3393</v>
      </c>
      <c r="Z977" t="str">
        <f>IFERROR(VLOOKUP(ROWS($Z$3:Z977),$X$3:$Y$992,2,0),"")</f>
        <v>Ambulantní nebo terénní sociální služby pro osoby se zdrav.postižením</v>
      </c>
    </row>
    <row r="978" spans="13:26">
      <c r="M978" s="324">
        <f>IF(ISNUMBER(SEARCH(ZAKL_DATA!$B$29,N978)),MAX($M$2:M977)+1,0)</f>
        <v>976</v>
      </c>
      <c r="N978" s="325" t="s">
        <v>3395</v>
      </c>
      <c r="O978" s="340" t="s">
        <v>3396</v>
      </c>
      <c r="Q978" s="327" t="str">
        <f>IFERROR(VLOOKUP(ROWS($Q$3:Q978),$M$3:$N$992,2,0),"")</f>
        <v>Sociální služby pro uprchlíky, oběti katastrof</v>
      </c>
      <c r="R978">
        <f>IF(ISNUMBER(SEARCH('1Př1'!$A$32,N978)),MAX($M$2:M977)+1,0)</f>
        <v>976</v>
      </c>
      <c r="S978" s="325" t="s">
        <v>3395</v>
      </c>
      <c r="T978" t="str">
        <f>IFERROR(VLOOKUP(ROWS($T$3:T978),$R$3:$S$992,2,0),"")</f>
        <v>Sociální služby pro uprchlíky, oběti katastrof</v>
      </c>
      <c r="U978">
        <f>IF(ISNUMBER(SEARCH('1Př1'!$A$33,N978)),MAX($M$2:M977)+1,0)</f>
        <v>976</v>
      </c>
      <c r="V978" s="325" t="s">
        <v>3395</v>
      </c>
      <c r="W978" t="str">
        <f>IFERROR(VLOOKUP(ROWS($W$3:W978),$U$3:$V$992,2,0),"")</f>
        <v>Sociální služby pro uprchlíky, oběti katastrof</v>
      </c>
      <c r="X978">
        <f>IF(ISNUMBER(SEARCH('1Př1'!$A$34,N978)),MAX($M$2:M977)+1,0)</f>
        <v>976</v>
      </c>
      <c r="Y978" s="325" t="s">
        <v>3395</v>
      </c>
      <c r="Z978" t="str">
        <f>IFERROR(VLOOKUP(ROWS($Z$3:Z978),$X$3:$Y$992,2,0),"")</f>
        <v>Sociální služby pro uprchlíky, oběti katastrof</v>
      </c>
    </row>
    <row r="979" spans="13:26">
      <c r="M979" s="324">
        <f>IF(ISNUMBER(SEARCH(ZAKL_DATA!$B$29,N979)),MAX($M$2:M978)+1,0)</f>
        <v>977</v>
      </c>
      <c r="N979" s="325" t="s">
        <v>3397</v>
      </c>
      <c r="O979" s="340" t="s">
        <v>3398</v>
      </c>
      <c r="Q979" s="327" t="str">
        <f>IFERROR(VLOOKUP(ROWS($Q$3:Q979),$M$3:$N$992,2,0),"")</f>
        <v>Sociální prevence</v>
      </c>
      <c r="R979">
        <f>IF(ISNUMBER(SEARCH('1Př1'!$A$32,N979)),MAX($M$2:M978)+1,0)</f>
        <v>977</v>
      </c>
      <c r="S979" s="325" t="s">
        <v>3397</v>
      </c>
      <c r="T979" t="str">
        <f>IFERROR(VLOOKUP(ROWS($T$3:T979),$R$3:$S$992,2,0),"")</f>
        <v>Sociální prevence</v>
      </c>
      <c r="U979">
        <f>IF(ISNUMBER(SEARCH('1Př1'!$A$33,N979)),MAX($M$2:M978)+1,0)</f>
        <v>977</v>
      </c>
      <c r="V979" s="325" t="s">
        <v>3397</v>
      </c>
      <c r="W979" t="str">
        <f>IFERROR(VLOOKUP(ROWS($W$3:W979),$U$3:$V$992,2,0),"")</f>
        <v>Sociální prevence</v>
      </c>
      <c r="X979">
        <f>IF(ISNUMBER(SEARCH('1Př1'!$A$34,N979)),MAX($M$2:M978)+1,0)</f>
        <v>977</v>
      </c>
      <c r="Y979" s="325" t="s">
        <v>3397</v>
      </c>
      <c r="Z979" t="str">
        <f>IFERROR(VLOOKUP(ROWS($Z$3:Z979),$X$3:$Y$992,2,0),"")</f>
        <v>Sociální prevence</v>
      </c>
    </row>
    <row r="980" spans="13:26">
      <c r="M980" s="324">
        <f>IF(ISNUMBER(SEARCH(ZAKL_DATA!$B$29,N980)),MAX($M$2:M979)+1,0)</f>
        <v>978</v>
      </c>
      <c r="N980" s="325" t="s">
        <v>3399</v>
      </c>
      <c r="O980" s="340" t="s">
        <v>3400</v>
      </c>
      <c r="Q980" s="327" t="str">
        <f>IFERROR(VLOOKUP(ROWS($Q$3:Q980),$M$3:$N$992,2,0),"")</f>
        <v>Sociální rehabilitace</v>
      </c>
      <c r="R980">
        <f>IF(ISNUMBER(SEARCH('1Př1'!$A$32,N980)),MAX($M$2:M979)+1,0)</f>
        <v>978</v>
      </c>
      <c r="S980" s="325" t="s">
        <v>3399</v>
      </c>
      <c r="T980" t="str">
        <f>IFERROR(VLOOKUP(ROWS($T$3:T980),$R$3:$S$992,2,0),"")</f>
        <v>Sociální rehabilitace</v>
      </c>
      <c r="U980">
        <f>IF(ISNUMBER(SEARCH('1Př1'!$A$33,N980)),MAX($M$2:M979)+1,0)</f>
        <v>978</v>
      </c>
      <c r="V980" s="325" t="s">
        <v>3399</v>
      </c>
      <c r="W980" t="str">
        <f>IFERROR(VLOOKUP(ROWS($W$3:W980),$U$3:$V$992,2,0),"")</f>
        <v>Sociální rehabilitace</v>
      </c>
      <c r="X980">
        <f>IF(ISNUMBER(SEARCH('1Př1'!$A$34,N980)),MAX($M$2:M979)+1,0)</f>
        <v>978</v>
      </c>
      <c r="Y980" s="325" t="s">
        <v>3399</v>
      </c>
      <c r="Z980" t="str">
        <f>IFERROR(VLOOKUP(ROWS($Z$3:Z980),$X$3:$Y$992,2,0),"")</f>
        <v>Sociální rehabilitace</v>
      </c>
    </row>
    <row r="981" spans="13:26">
      <c r="M981" s="324">
        <f>IF(ISNUMBER(SEARCH(ZAKL_DATA!$B$29,N981)),MAX($M$2:M980)+1,0)</f>
        <v>979</v>
      </c>
      <c r="N981" s="325" t="s">
        <v>3401</v>
      </c>
      <c r="O981" s="340" t="s">
        <v>3402</v>
      </c>
      <c r="Q981" s="327" t="str">
        <f>IFERROR(VLOOKUP(ROWS($Q$3:Q981),$M$3:$N$992,2,0),"")</f>
        <v>Jiné ambulantní nebo terénní sociální služby j. n.</v>
      </c>
      <c r="R981">
        <f>IF(ISNUMBER(SEARCH('1Př1'!$A$32,N981)),MAX($M$2:M980)+1,0)</f>
        <v>979</v>
      </c>
      <c r="S981" s="325" t="s">
        <v>3401</v>
      </c>
      <c r="T981" t="str">
        <f>IFERROR(VLOOKUP(ROWS($T$3:T981),$R$3:$S$992,2,0),"")</f>
        <v>Jiné ambulantní nebo terénní sociální služby j. n.</v>
      </c>
      <c r="U981">
        <f>IF(ISNUMBER(SEARCH('1Př1'!$A$33,N981)),MAX($M$2:M980)+1,0)</f>
        <v>979</v>
      </c>
      <c r="V981" s="325" t="s">
        <v>3401</v>
      </c>
      <c r="W981" t="str">
        <f>IFERROR(VLOOKUP(ROWS($W$3:W981),$U$3:$V$992,2,0),"")</f>
        <v>Jiné ambulantní nebo terénní sociální služby j. n.</v>
      </c>
      <c r="X981">
        <f>IF(ISNUMBER(SEARCH('1Př1'!$A$34,N981)),MAX($M$2:M980)+1,0)</f>
        <v>979</v>
      </c>
      <c r="Y981" s="325" t="s">
        <v>3401</v>
      </c>
      <c r="Z981" t="str">
        <f>IFERROR(VLOOKUP(ROWS($Z$3:Z981),$X$3:$Y$992,2,0),"")</f>
        <v>Jiné ambulantní nebo terénní sociální služby j. n.</v>
      </c>
    </row>
    <row r="982" spans="13:26">
      <c r="M982" s="324">
        <f>IF(ISNUMBER(SEARCH(ZAKL_DATA!$B$29,N982)),MAX($M$2:M981)+1,0)</f>
        <v>980</v>
      </c>
      <c r="N982" s="325" t="s">
        <v>3403</v>
      </c>
      <c r="O982" s="340" t="s">
        <v>3083</v>
      </c>
      <c r="Q982" s="327" t="str">
        <f>IFERROR(VLOOKUP(ROWS($Q$3:Q982),$M$3:$N$992,2,0),"")</f>
        <v>Činnosti botanických a zoologických zahrad,přírod.rezervací a národ.parků</v>
      </c>
      <c r="R982">
        <f>IF(ISNUMBER(SEARCH('1Př1'!$A$32,N982)),MAX($M$2:M981)+1,0)</f>
        <v>980</v>
      </c>
      <c r="S982" s="325" t="s">
        <v>3403</v>
      </c>
      <c r="T982" t="str">
        <f>IFERROR(VLOOKUP(ROWS($T$3:T982),$R$3:$S$992,2,0),"")</f>
        <v>Činnosti botanických a zoologických zahrad,přírod.rezervací a národ.parků</v>
      </c>
      <c r="U982">
        <f>IF(ISNUMBER(SEARCH('1Př1'!$A$33,N982)),MAX($M$2:M981)+1,0)</f>
        <v>980</v>
      </c>
      <c r="V982" s="325" t="s">
        <v>3403</v>
      </c>
      <c r="W982" t="str">
        <f>IFERROR(VLOOKUP(ROWS($W$3:W982),$U$3:$V$992,2,0),"")</f>
        <v>Činnosti botanických a zoologických zahrad,přírod.rezervací a národ.parků</v>
      </c>
      <c r="X982">
        <f>IF(ISNUMBER(SEARCH('1Př1'!$A$34,N982)),MAX($M$2:M981)+1,0)</f>
        <v>980</v>
      </c>
      <c r="Y982" s="325" t="s">
        <v>3403</v>
      </c>
      <c r="Z982" t="str">
        <f>IFERROR(VLOOKUP(ROWS($Z$3:Z982),$X$3:$Y$992,2,0),"")</f>
        <v>Činnosti botanických a zoologických zahrad,přírod.rezervací a národ.parků</v>
      </c>
    </row>
    <row r="983" spans="13:26">
      <c r="M983" s="324">
        <f>IF(ISNUMBER(SEARCH(ZAKL_DATA!$B$29,N983)),MAX($M$2:M982)+1,0)</f>
        <v>981</v>
      </c>
      <c r="N983" s="325" t="s">
        <v>3404</v>
      </c>
      <c r="O983" s="340" t="s">
        <v>3405</v>
      </c>
      <c r="Q983" s="327" t="str">
        <f>IFERROR(VLOOKUP(ROWS($Q$3:Q983),$M$3:$N$992,2,0),"")</f>
        <v>Činnosti botanických a zoologických zahrad</v>
      </c>
      <c r="R983">
        <f>IF(ISNUMBER(SEARCH('1Př1'!$A$32,N983)),MAX($M$2:M982)+1,0)</f>
        <v>981</v>
      </c>
      <c r="S983" s="325" t="s">
        <v>3404</v>
      </c>
      <c r="T983" t="str">
        <f>IFERROR(VLOOKUP(ROWS($T$3:T983),$R$3:$S$992,2,0),"")</f>
        <v>Činnosti botanických a zoologických zahrad</v>
      </c>
      <c r="U983">
        <f>IF(ISNUMBER(SEARCH('1Př1'!$A$33,N983)),MAX($M$2:M982)+1,0)</f>
        <v>981</v>
      </c>
      <c r="V983" s="325" t="s">
        <v>3404</v>
      </c>
      <c r="W983" t="str">
        <f>IFERROR(VLOOKUP(ROWS($W$3:W983),$U$3:$V$992,2,0),"")</f>
        <v>Činnosti botanických a zoologických zahrad</v>
      </c>
      <c r="X983">
        <f>IF(ISNUMBER(SEARCH('1Př1'!$A$34,N983)),MAX($M$2:M982)+1,0)</f>
        <v>981</v>
      </c>
      <c r="Y983" s="325" t="s">
        <v>3404</v>
      </c>
      <c r="Z983" t="str">
        <f>IFERROR(VLOOKUP(ROWS($Z$3:Z983),$X$3:$Y$992,2,0),"")</f>
        <v>Činnosti botanických a zoologických zahrad</v>
      </c>
    </row>
    <row r="984" spans="13:26">
      <c r="M984" s="324">
        <f>IF(ISNUMBER(SEARCH(ZAKL_DATA!$B$29,N984)),MAX($M$2:M983)+1,0)</f>
        <v>982</v>
      </c>
      <c r="N984" s="325" t="s">
        <v>3406</v>
      </c>
      <c r="O984" s="340" t="s">
        <v>3407</v>
      </c>
      <c r="Q984" s="327" t="str">
        <f>IFERROR(VLOOKUP(ROWS($Q$3:Q984),$M$3:$N$992,2,0),"")</f>
        <v>Činnosti přírodních rezervací a národních parků</v>
      </c>
      <c r="R984">
        <f>IF(ISNUMBER(SEARCH('1Př1'!$A$32,N984)),MAX($M$2:M983)+1,0)</f>
        <v>982</v>
      </c>
      <c r="S984" s="325" t="s">
        <v>3406</v>
      </c>
      <c r="T984" t="str">
        <f>IFERROR(VLOOKUP(ROWS($T$3:T984),$R$3:$S$992,2,0),"")</f>
        <v>Činnosti přírodních rezervací a národních parků</v>
      </c>
      <c r="U984">
        <f>IF(ISNUMBER(SEARCH('1Př1'!$A$33,N984)),MAX($M$2:M983)+1,0)</f>
        <v>982</v>
      </c>
      <c r="V984" s="325" t="s">
        <v>3406</v>
      </c>
      <c r="W984" t="str">
        <f>IFERROR(VLOOKUP(ROWS($W$3:W984),$U$3:$V$992,2,0),"")</f>
        <v>Činnosti přírodních rezervací a národních parků</v>
      </c>
      <c r="X984">
        <f>IF(ISNUMBER(SEARCH('1Př1'!$A$34,N984)),MAX($M$2:M983)+1,0)</f>
        <v>982</v>
      </c>
      <c r="Y984" s="325" t="s">
        <v>3406</v>
      </c>
      <c r="Z984" t="str">
        <f>IFERROR(VLOOKUP(ROWS($Z$3:Z984),$X$3:$Y$992,2,0),"")</f>
        <v>Činnosti přírodních rezervací a národních parků</v>
      </c>
    </row>
    <row r="985" spans="13:26">
      <c r="M985" s="324">
        <f>IF(ISNUMBER(SEARCH(ZAKL_DATA!$B$29,N985)),MAX($M$2:M984)+1,0)</f>
        <v>983</v>
      </c>
      <c r="N985" s="325" t="s">
        <v>3408</v>
      </c>
      <c r="O985" s="340" t="s">
        <v>3409</v>
      </c>
      <c r="Q985" s="327" t="str">
        <f>IFERROR(VLOOKUP(ROWS($Q$3:Q985),$M$3:$N$992,2,0),"")</f>
        <v>Činnosti organizací dětí a mládeže</v>
      </c>
      <c r="R985">
        <f>IF(ISNUMBER(SEARCH('1Př1'!$A$32,N985)),MAX($M$2:M984)+1,0)</f>
        <v>983</v>
      </c>
      <c r="S985" s="325" t="s">
        <v>3408</v>
      </c>
      <c r="T985" t="str">
        <f>IFERROR(VLOOKUP(ROWS($T$3:T985),$R$3:$S$992,2,0),"")</f>
        <v>Činnosti organizací dětí a mládeže</v>
      </c>
      <c r="U985">
        <f>IF(ISNUMBER(SEARCH('1Př1'!$A$33,N985)),MAX($M$2:M984)+1,0)</f>
        <v>983</v>
      </c>
      <c r="V985" s="325" t="s">
        <v>3408</v>
      </c>
      <c r="W985" t="str">
        <f>IFERROR(VLOOKUP(ROWS($W$3:W985),$U$3:$V$992,2,0),"")</f>
        <v>Činnosti organizací dětí a mládeže</v>
      </c>
      <c r="X985">
        <f>IF(ISNUMBER(SEARCH('1Př1'!$A$34,N985)),MAX($M$2:M984)+1,0)</f>
        <v>983</v>
      </c>
      <c r="Y985" s="325" t="s">
        <v>3408</v>
      </c>
      <c r="Z985" t="str">
        <f>IFERROR(VLOOKUP(ROWS($Z$3:Z985),$X$3:$Y$992,2,0),"")</f>
        <v>Činnosti organizací dětí a mládeže</v>
      </c>
    </row>
    <row r="986" spans="13:26">
      <c r="M986" s="324">
        <f>IF(ISNUMBER(SEARCH(ZAKL_DATA!$B$29,N986)),MAX($M$2:M985)+1,0)</f>
        <v>984</v>
      </c>
      <c r="N986" s="325" t="s">
        <v>3410</v>
      </c>
      <c r="O986" s="340" t="s">
        <v>3411</v>
      </c>
      <c r="Q986" s="327" t="str">
        <f>IFERROR(VLOOKUP(ROWS($Q$3:Q986),$M$3:$N$992,2,0),"")</f>
        <v>Činnosti organizací na podporu kulturní činnosti</v>
      </c>
      <c r="R986">
        <f>IF(ISNUMBER(SEARCH('1Př1'!$A$32,N986)),MAX($M$2:M985)+1,0)</f>
        <v>984</v>
      </c>
      <c r="S986" s="325" t="s">
        <v>3410</v>
      </c>
      <c r="T986" t="str">
        <f>IFERROR(VLOOKUP(ROWS($T$3:T986),$R$3:$S$992,2,0),"")</f>
        <v>Činnosti organizací na podporu kulturní činnosti</v>
      </c>
      <c r="U986">
        <f>IF(ISNUMBER(SEARCH('1Př1'!$A$33,N986)),MAX($M$2:M985)+1,0)</f>
        <v>984</v>
      </c>
      <c r="V986" s="325" t="s">
        <v>3410</v>
      </c>
      <c r="W986" t="str">
        <f>IFERROR(VLOOKUP(ROWS($W$3:W986),$U$3:$V$992,2,0),"")</f>
        <v>Činnosti organizací na podporu kulturní činnosti</v>
      </c>
      <c r="X986">
        <f>IF(ISNUMBER(SEARCH('1Př1'!$A$34,N986)),MAX($M$2:M985)+1,0)</f>
        <v>984</v>
      </c>
      <c r="Y986" s="325" t="s">
        <v>3410</v>
      </c>
      <c r="Z986" t="str">
        <f>IFERROR(VLOOKUP(ROWS($Z$3:Z986),$X$3:$Y$992,2,0),"")</f>
        <v>Činnosti organizací na podporu kulturní činnosti</v>
      </c>
    </row>
    <row r="987" spans="13:26">
      <c r="M987" s="324">
        <f>IF(ISNUMBER(SEARCH(ZAKL_DATA!$B$29,N987)),MAX($M$2:M986)+1,0)</f>
        <v>985</v>
      </c>
      <c r="N987" s="325" t="s">
        <v>3412</v>
      </c>
      <c r="O987" s="340" t="s">
        <v>3413</v>
      </c>
      <c r="Q987" s="327" t="str">
        <f>IFERROR(VLOOKUP(ROWS($Q$3:Q987),$M$3:$N$992,2,0),"")</f>
        <v>Činnosti organizací na podporu rekreační a zájmové činnosti</v>
      </c>
      <c r="R987">
        <f>IF(ISNUMBER(SEARCH('1Př1'!$A$32,N987)),MAX($M$2:M986)+1,0)</f>
        <v>985</v>
      </c>
      <c r="S987" s="325" t="s">
        <v>3412</v>
      </c>
      <c r="T987" t="str">
        <f>IFERROR(VLOOKUP(ROWS($T$3:T987),$R$3:$S$992,2,0),"")</f>
        <v>Činnosti organizací na podporu rekreační a zájmové činnosti</v>
      </c>
      <c r="U987">
        <f>IF(ISNUMBER(SEARCH('1Př1'!$A$33,N987)),MAX($M$2:M986)+1,0)</f>
        <v>985</v>
      </c>
      <c r="V987" s="325" t="s">
        <v>3412</v>
      </c>
      <c r="W987" t="str">
        <f>IFERROR(VLOOKUP(ROWS($W$3:W987),$U$3:$V$992,2,0),"")</f>
        <v>Činnosti organizací na podporu rekreační a zájmové činnosti</v>
      </c>
      <c r="X987">
        <f>IF(ISNUMBER(SEARCH('1Př1'!$A$34,N987)),MAX($M$2:M986)+1,0)</f>
        <v>985</v>
      </c>
      <c r="Y987" s="325" t="s">
        <v>3412</v>
      </c>
      <c r="Z987" t="str">
        <f>IFERROR(VLOOKUP(ROWS($Z$3:Z987),$X$3:$Y$992,2,0),"")</f>
        <v>Činnosti organizací na podporu rekreační a zájmové činnosti</v>
      </c>
    </row>
    <row r="988" spans="13:26">
      <c r="M988" s="324">
        <f>IF(ISNUMBER(SEARCH(ZAKL_DATA!$B$29,N988)),MAX($M$2:M987)+1,0)</f>
        <v>986</v>
      </c>
      <c r="N988" s="325" t="s">
        <v>3414</v>
      </c>
      <c r="O988" s="340" t="s">
        <v>3415</v>
      </c>
      <c r="Q988" s="327" t="str">
        <f>IFERROR(VLOOKUP(ROWS($Q$3:Q988),$M$3:$N$992,2,0),"")</f>
        <v>Činnosti spotřebitelských organizací</v>
      </c>
      <c r="R988">
        <f>IF(ISNUMBER(SEARCH('1Př1'!$A$32,N988)),MAX($M$2:M987)+1,0)</f>
        <v>986</v>
      </c>
      <c r="S988" s="325" t="s">
        <v>3414</v>
      </c>
      <c r="T988" t="str">
        <f>IFERROR(VLOOKUP(ROWS($T$3:T988),$R$3:$S$992,2,0),"")</f>
        <v>Činnosti spotřebitelských organizací</v>
      </c>
      <c r="U988">
        <f>IF(ISNUMBER(SEARCH('1Př1'!$A$33,N988)),MAX($M$2:M987)+1,0)</f>
        <v>986</v>
      </c>
      <c r="V988" s="325" t="s">
        <v>3414</v>
      </c>
      <c r="W988" t="str">
        <f>IFERROR(VLOOKUP(ROWS($W$3:W988),$U$3:$V$992,2,0),"")</f>
        <v>Činnosti spotřebitelských organizací</v>
      </c>
      <c r="X988">
        <f>IF(ISNUMBER(SEARCH('1Př1'!$A$34,N988)),MAX($M$2:M987)+1,0)</f>
        <v>986</v>
      </c>
      <c r="Y988" s="325" t="s">
        <v>3414</v>
      </c>
      <c r="Z988" t="str">
        <f>IFERROR(VLOOKUP(ROWS($Z$3:Z988),$X$3:$Y$992,2,0),"")</f>
        <v>Činnosti spotřebitelských organizací</v>
      </c>
    </row>
    <row r="989" spans="13:26">
      <c r="M989" s="324">
        <f>IF(ISNUMBER(SEARCH(ZAKL_DATA!$B$29,N989)),MAX($M$2:M988)+1,0)</f>
        <v>987</v>
      </c>
      <c r="N989" s="325" t="s">
        <v>3416</v>
      </c>
      <c r="O989" s="340" t="s">
        <v>3417</v>
      </c>
      <c r="Q989" s="327" t="str">
        <f>IFERROR(VLOOKUP(ROWS($Q$3:Q989),$M$3:$N$992,2,0),"")</f>
        <v>Činnosti environmentálních a ekologických hnutí</v>
      </c>
      <c r="R989">
        <f>IF(ISNUMBER(SEARCH('1Př1'!$A$32,N989)),MAX($M$2:M988)+1,0)</f>
        <v>987</v>
      </c>
      <c r="S989" s="325" t="s">
        <v>3416</v>
      </c>
      <c r="T989" t="str">
        <f>IFERROR(VLOOKUP(ROWS($T$3:T989),$R$3:$S$992,2,0),"")</f>
        <v>Činnosti environmentálních a ekologických hnutí</v>
      </c>
      <c r="U989">
        <f>IF(ISNUMBER(SEARCH('1Př1'!$A$33,N989)),MAX($M$2:M988)+1,0)</f>
        <v>987</v>
      </c>
      <c r="V989" s="325" t="s">
        <v>3416</v>
      </c>
      <c r="W989" t="str">
        <f>IFERROR(VLOOKUP(ROWS($W$3:W989),$U$3:$V$992,2,0),"")</f>
        <v>Činnosti environmentálních a ekologických hnutí</v>
      </c>
      <c r="X989">
        <f>IF(ISNUMBER(SEARCH('1Př1'!$A$34,N989)),MAX($M$2:M988)+1,0)</f>
        <v>987</v>
      </c>
      <c r="Y989" s="325" t="s">
        <v>3416</v>
      </c>
      <c r="Z989" t="str">
        <f>IFERROR(VLOOKUP(ROWS($Z$3:Z989),$X$3:$Y$992,2,0),"")</f>
        <v>Činnosti environmentálních a ekologických hnutí</v>
      </c>
    </row>
    <row r="990" spans="13:26">
      <c r="M990" s="324">
        <f>IF(ISNUMBER(SEARCH(ZAKL_DATA!$B$29,N990)),MAX($M$2:M989)+1,0)</f>
        <v>988</v>
      </c>
      <c r="N990" s="325" t="s">
        <v>3418</v>
      </c>
      <c r="O990" s="340" t="s">
        <v>3419</v>
      </c>
      <c r="Q990" s="327" t="str">
        <f>IFERROR(VLOOKUP(ROWS($Q$3:Q990),$M$3:$N$992,2,0),"")</f>
        <v>Čin.org.na ochranu a zlepšení postavení etnických,menšin.a jiných spec.sk.</v>
      </c>
      <c r="R990">
        <f>IF(ISNUMBER(SEARCH('1Př1'!$A$32,N990)),MAX($M$2:M989)+1,0)</f>
        <v>988</v>
      </c>
      <c r="S990" s="325" t="s">
        <v>3418</v>
      </c>
      <c r="T990" t="str">
        <f>IFERROR(VLOOKUP(ROWS($T$3:T990),$R$3:$S$992,2,0),"")</f>
        <v>Čin.org.na ochranu a zlepšení postavení etnických,menšin.a jiných spec.sk.</v>
      </c>
      <c r="U990">
        <f>IF(ISNUMBER(SEARCH('1Př1'!$A$33,N990)),MAX($M$2:M989)+1,0)</f>
        <v>988</v>
      </c>
      <c r="V990" s="325" t="s">
        <v>3418</v>
      </c>
      <c r="W990" t="str">
        <f>IFERROR(VLOOKUP(ROWS($W$3:W990),$U$3:$V$992,2,0),"")</f>
        <v>Čin.org.na ochranu a zlepšení postavení etnických,menšin.a jiných spec.sk.</v>
      </c>
      <c r="X990">
        <f>IF(ISNUMBER(SEARCH('1Př1'!$A$34,N990)),MAX($M$2:M989)+1,0)</f>
        <v>988</v>
      </c>
      <c r="Y990" s="325" t="s">
        <v>3418</v>
      </c>
      <c r="Z990" t="str">
        <f>IFERROR(VLOOKUP(ROWS($Z$3:Z990),$X$3:$Y$992,2,0),"")</f>
        <v>Čin.org.na ochranu a zlepšení postavení etnických,menšin.a jiných spec.sk.</v>
      </c>
    </row>
    <row r="991" spans="13:26">
      <c r="M991" s="324">
        <f>IF(ISNUMBER(SEARCH(ZAKL_DATA!$B$29,N991)),MAX($M$2:M990)+1,0)</f>
        <v>989</v>
      </c>
      <c r="N991" s="325" t="s">
        <v>3420</v>
      </c>
      <c r="O991" s="340" t="s">
        <v>3421</v>
      </c>
      <c r="Q991" s="327" t="str">
        <f>IFERROR(VLOOKUP(ROWS($Q$3:Q991),$M$3:$N$992,2,0),"")</f>
        <v>Činnosti občanských iniciativ, protestních hnutí</v>
      </c>
      <c r="R991">
        <f>IF(ISNUMBER(SEARCH('1Př1'!$A$32,N991)),MAX($M$2:M990)+1,0)</f>
        <v>989</v>
      </c>
      <c r="S991" s="325" t="s">
        <v>3420</v>
      </c>
      <c r="T991" t="str">
        <f>IFERROR(VLOOKUP(ROWS($T$3:T991),$R$3:$S$992,2,0),"")</f>
        <v>Činnosti občanských iniciativ, protestních hnutí</v>
      </c>
      <c r="U991">
        <f>IF(ISNUMBER(SEARCH('1Př1'!$A$33,N991)),MAX($M$2:M990)+1,0)</f>
        <v>989</v>
      </c>
      <c r="V991" s="325" t="s">
        <v>3420</v>
      </c>
      <c r="W991" t="str">
        <f>IFERROR(VLOOKUP(ROWS($W$3:W991),$U$3:$V$992,2,0),"")</f>
        <v>Činnosti občanských iniciativ, protestních hnutí</v>
      </c>
      <c r="X991">
        <f>IF(ISNUMBER(SEARCH('1Př1'!$A$34,N991)),MAX($M$2:M990)+1,0)</f>
        <v>989</v>
      </c>
      <c r="Y991" s="325" t="s">
        <v>3420</v>
      </c>
      <c r="Z991" t="str">
        <f>IFERROR(VLOOKUP(ROWS($Z$3:Z991),$X$3:$Y$992,2,0),"")</f>
        <v>Činnosti občanských iniciativ, protestních hnutí</v>
      </c>
    </row>
    <row r="992" spans="13:26" ht="13.5" thickBot="1">
      <c r="M992" s="324">
        <f>IF(ISNUMBER(SEARCH(ZAKL_DATA!$B$29,N992)),MAX($M$2:M991)+1,0)</f>
        <v>990</v>
      </c>
      <c r="N992" s="348" t="s">
        <v>3422</v>
      </c>
      <c r="O992" s="349" t="s">
        <v>3423</v>
      </c>
      <c r="Q992" s="350" t="str">
        <f>IFERROR(VLOOKUP(ROWS($Q$3:Q992),$M$3:$N$992,2,0),"")</f>
        <v>Činnosti ostatních organizací j. n.</v>
      </c>
      <c r="R992">
        <f>IF(ISNUMBER(SEARCH('1Př1'!$A$32,N992)),MAX($M$2:M991)+1,0)</f>
        <v>990</v>
      </c>
      <c r="S992" s="348" t="s">
        <v>3422</v>
      </c>
      <c r="T992" t="str">
        <f>IFERROR(VLOOKUP(ROWS($T$3:T992),$R$3:$S$992,2,0),"")</f>
        <v>Činnosti ostatních organizací j. n.</v>
      </c>
      <c r="U992">
        <f>IF(ISNUMBER(SEARCH('1Př1'!$A$33,N992)),MAX($M$2:M991)+1,0)</f>
        <v>990</v>
      </c>
      <c r="V992" s="348" t="s">
        <v>3422</v>
      </c>
      <c r="W992" t="str">
        <f>IFERROR(VLOOKUP(ROWS($W$3:W992),$U$3:$V$992,2,0),"")</f>
        <v>Činnosti ostatních organizací j. n.</v>
      </c>
      <c r="X992">
        <f>IF(ISNUMBER(SEARCH('1Př1'!$A$34,N992)),MAX($M$2:M991)+1,0)</f>
        <v>990</v>
      </c>
      <c r="Y992" s="348" t="s">
        <v>3422</v>
      </c>
      <c r="Z992" t="str">
        <f>IFERROR(VLOOKUP(ROWS($Z$3:Z992),$X$3:$Y$992,2,0),"")</f>
        <v>Činnosti ostatních organizací j. n.</v>
      </c>
    </row>
  </sheetData>
  <dataValidations disablePrompts="1" count="1">
    <dataValidation type="list" allowBlank="1" showInputMessage="1" sqref="B20" xr:uid="{00000000-0002-0000-0000-000000000000}">
      <formula1>validation_list2</formula1>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68"/>
  <sheetViews>
    <sheetView showZeros="0" workbookViewId="0">
      <selection activeCell="K4" sqref="K4"/>
    </sheetView>
  </sheetViews>
  <sheetFormatPr defaultColWidth="9.140625" defaultRowHeight="12.75"/>
  <cols>
    <col min="1" max="1" width="11.140625" style="3" customWidth="1"/>
    <col min="2" max="2" width="20.42578125" style="3" customWidth="1"/>
    <col min="3" max="3" width="14.140625" style="3" customWidth="1"/>
    <col min="4" max="4" width="4.85546875" style="3" customWidth="1"/>
    <col min="5" max="5" width="11.85546875" style="3" customWidth="1"/>
    <col min="6" max="6" width="11" style="3" customWidth="1"/>
    <col min="7" max="7" width="3.140625" style="3" customWidth="1"/>
    <col min="8" max="8" width="6.7109375" style="3" customWidth="1"/>
    <col min="9" max="9" width="10.28515625" style="3" customWidth="1"/>
    <col min="10" max="11" width="6.7109375" style="3" customWidth="1"/>
    <col min="12" max="16384" width="9.140625" style="2"/>
  </cols>
  <sheetData>
    <row r="1" spans="1:11">
      <c r="A1" s="1035" t="s">
        <v>3465</v>
      </c>
      <c r="B1" s="1036"/>
      <c r="C1" s="1036"/>
      <c r="D1" s="1036"/>
      <c r="E1" s="1036"/>
      <c r="F1" s="1036"/>
      <c r="G1" s="1036"/>
      <c r="H1" s="1036"/>
      <c r="I1" s="1036"/>
      <c r="J1" s="1036"/>
      <c r="K1" s="1036"/>
    </row>
    <row r="2" spans="1:11" ht="14.1" customHeight="1" thickBot="1">
      <c r="A2" s="1037" t="s">
        <v>3466</v>
      </c>
      <c r="B2" s="1038"/>
      <c r="C2" s="1038"/>
      <c r="D2" s="1038"/>
      <c r="E2" s="1038"/>
      <c r="F2" s="1038"/>
      <c r="G2" s="1038"/>
      <c r="H2" s="1038"/>
      <c r="I2" s="1038"/>
      <c r="J2" s="1038"/>
      <c r="K2" s="1038"/>
    </row>
    <row r="3" spans="1:11" ht="15" customHeight="1">
      <c r="A3" s="1039" t="s">
        <v>128</v>
      </c>
      <c r="B3" s="1040"/>
      <c r="C3" s="1040"/>
      <c r="D3" s="1040"/>
      <c r="E3" s="1040"/>
      <c r="F3" s="1040"/>
      <c r="G3" s="1040"/>
      <c r="H3" s="1040"/>
      <c r="I3" s="1040"/>
      <c r="J3" s="1041"/>
      <c r="K3" s="209"/>
    </row>
    <row r="4" spans="1:11" ht="15" customHeight="1">
      <c r="A4" s="986" t="s">
        <v>3467</v>
      </c>
      <c r="B4" s="987"/>
      <c r="C4" s="987"/>
      <c r="D4" s="987"/>
      <c r="E4" s="987"/>
      <c r="F4" s="987"/>
      <c r="G4" s="987"/>
      <c r="H4" s="987"/>
      <c r="I4" s="988"/>
      <c r="J4" s="989"/>
      <c r="K4" s="207"/>
    </row>
    <row r="5" spans="1:11" ht="15" customHeight="1">
      <c r="A5" s="986" t="s">
        <v>3582</v>
      </c>
      <c r="B5" s="987"/>
      <c r="C5" s="987"/>
      <c r="D5" s="987"/>
      <c r="E5" s="987"/>
      <c r="F5" s="987"/>
      <c r="G5" s="987"/>
      <c r="H5" s="987"/>
      <c r="I5" s="988"/>
      <c r="J5" s="989"/>
      <c r="K5" s="207"/>
    </row>
    <row r="6" spans="1:11" ht="15" customHeight="1">
      <c r="A6" s="986" t="s">
        <v>3937</v>
      </c>
      <c r="B6" s="987"/>
      <c r="C6" s="987"/>
      <c r="D6" s="987"/>
      <c r="E6" s="987"/>
      <c r="F6" s="987"/>
      <c r="G6" s="987"/>
      <c r="H6" s="987"/>
      <c r="I6" s="988"/>
      <c r="J6" s="989"/>
      <c r="K6" s="207"/>
    </row>
    <row r="7" spans="1:11" ht="15" customHeight="1">
      <c r="A7" s="986" t="s">
        <v>3784</v>
      </c>
      <c r="B7" s="987"/>
      <c r="C7" s="987"/>
      <c r="D7" s="987"/>
      <c r="E7" s="987"/>
      <c r="F7" s="987"/>
      <c r="G7" s="987"/>
      <c r="H7" s="987"/>
      <c r="I7" s="988"/>
      <c r="J7" s="989"/>
      <c r="K7" s="207"/>
    </row>
    <row r="8" spans="1:11" ht="15" customHeight="1">
      <c r="A8" s="986" t="s">
        <v>229</v>
      </c>
      <c r="B8" s="987"/>
      <c r="C8" s="987"/>
      <c r="D8" s="987"/>
      <c r="E8" s="987"/>
      <c r="F8" s="987"/>
      <c r="G8" s="987"/>
      <c r="H8" s="987"/>
      <c r="I8" s="988"/>
      <c r="J8" s="989"/>
      <c r="K8" s="207"/>
    </row>
    <row r="9" spans="1:11" ht="24" customHeight="1">
      <c r="A9" s="986" t="s">
        <v>3468</v>
      </c>
      <c r="B9" s="987"/>
      <c r="C9" s="987"/>
      <c r="D9" s="987"/>
      <c r="E9" s="987"/>
      <c r="F9" s="987"/>
      <c r="G9" s="987"/>
      <c r="H9" s="987"/>
      <c r="I9" s="988"/>
      <c r="J9" s="989"/>
      <c r="K9" s="207"/>
    </row>
    <row r="10" spans="1:11" ht="15" customHeight="1">
      <c r="A10" s="986" t="s">
        <v>69</v>
      </c>
      <c r="B10" s="987"/>
      <c r="C10" s="987"/>
      <c r="D10" s="987"/>
      <c r="E10" s="987"/>
      <c r="F10" s="987"/>
      <c r="G10" s="987"/>
      <c r="H10" s="987"/>
      <c r="I10" s="988"/>
      <c r="J10" s="989"/>
      <c r="K10" s="207"/>
    </row>
    <row r="11" spans="1:11" ht="15" customHeight="1">
      <c r="A11" s="986" t="s">
        <v>3583</v>
      </c>
      <c r="B11" s="987"/>
      <c r="C11" s="987"/>
      <c r="D11" s="987"/>
      <c r="E11" s="987"/>
      <c r="F11" s="987"/>
      <c r="G11" s="987"/>
      <c r="H11" s="987"/>
      <c r="I11" s="988"/>
      <c r="J11" s="989"/>
      <c r="K11" s="207"/>
    </row>
    <row r="12" spans="1:11" ht="15" customHeight="1">
      <c r="A12" s="986" t="s">
        <v>3584</v>
      </c>
      <c r="B12" s="987"/>
      <c r="C12" s="987"/>
      <c r="D12" s="987"/>
      <c r="E12" s="987"/>
      <c r="F12" s="987"/>
      <c r="G12" s="987"/>
      <c r="H12" s="987"/>
      <c r="I12" s="988"/>
      <c r="J12" s="989"/>
      <c r="K12" s="207"/>
    </row>
    <row r="13" spans="1:11" ht="15" customHeight="1">
      <c r="A13" s="986" t="s">
        <v>3585</v>
      </c>
      <c r="B13" s="987"/>
      <c r="C13" s="987"/>
      <c r="D13" s="987"/>
      <c r="E13" s="987"/>
      <c r="F13" s="987"/>
      <c r="G13" s="987"/>
      <c r="H13" s="987"/>
      <c r="I13" s="988"/>
      <c r="J13" s="989"/>
      <c r="K13" s="207"/>
    </row>
    <row r="14" spans="1:11" ht="15" customHeight="1">
      <c r="A14" s="986" t="s">
        <v>3938</v>
      </c>
      <c r="B14" s="987"/>
      <c r="C14" s="987"/>
      <c r="D14" s="987"/>
      <c r="E14" s="987"/>
      <c r="F14" s="987"/>
      <c r="G14" s="987"/>
      <c r="H14" s="987"/>
      <c r="I14" s="988"/>
      <c r="J14" s="989"/>
      <c r="K14" s="207">
        <v>0</v>
      </c>
    </row>
    <row r="15" spans="1:11" ht="15" customHeight="1">
      <c r="A15" s="986" t="s">
        <v>3939</v>
      </c>
      <c r="B15" s="987"/>
      <c r="C15" s="987"/>
      <c r="D15" s="987"/>
      <c r="E15" s="987"/>
      <c r="F15" s="987"/>
      <c r="G15" s="987"/>
      <c r="H15" s="987"/>
      <c r="I15" s="988"/>
      <c r="J15" s="989"/>
      <c r="K15" s="207"/>
    </row>
    <row r="16" spans="1:11" ht="15" customHeight="1">
      <c r="A16" s="986" t="s">
        <v>3880</v>
      </c>
      <c r="B16" s="987"/>
      <c r="C16" s="987"/>
      <c r="D16" s="987"/>
      <c r="E16" s="987"/>
      <c r="F16" s="987"/>
      <c r="G16" s="987"/>
      <c r="H16" s="987"/>
      <c r="I16" s="988"/>
      <c r="J16" s="989"/>
      <c r="K16" s="207"/>
    </row>
    <row r="17" spans="1:11" ht="15" customHeight="1">
      <c r="A17" s="986" t="s">
        <v>3542</v>
      </c>
      <c r="B17" s="987"/>
      <c r="C17" s="987"/>
      <c r="D17" s="987"/>
      <c r="E17" s="987"/>
      <c r="F17" s="987"/>
      <c r="G17" s="987"/>
      <c r="H17" s="987"/>
      <c r="I17" s="988"/>
      <c r="J17" s="989"/>
      <c r="K17" s="207"/>
    </row>
    <row r="18" spans="1:11" ht="15" customHeight="1">
      <c r="A18" s="986" t="s">
        <v>203</v>
      </c>
      <c r="B18" s="987"/>
      <c r="C18" s="987"/>
      <c r="D18" s="987"/>
      <c r="E18" s="987"/>
      <c r="F18" s="987"/>
      <c r="G18" s="987"/>
      <c r="H18" s="987"/>
      <c r="I18" s="988"/>
      <c r="J18" s="989"/>
      <c r="K18" s="207"/>
    </row>
    <row r="19" spans="1:11" ht="15" customHeight="1">
      <c r="A19" s="986" t="s">
        <v>3684</v>
      </c>
      <c r="B19" s="987"/>
      <c r="C19" s="987"/>
      <c r="D19" s="987"/>
      <c r="E19" s="987"/>
      <c r="F19" s="987"/>
      <c r="G19" s="987"/>
      <c r="H19" s="987"/>
      <c r="I19" s="988"/>
      <c r="J19" s="989"/>
      <c r="K19" s="207"/>
    </row>
    <row r="20" spans="1:11" ht="15" customHeight="1">
      <c r="A20" s="986" t="s">
        <v>70</v>
      </c>
      <c r="B20" s="987"/>
      <c r="C20" s="987"/>
      <c r="D20" s="987"/>
      <c r="E20" s="987"/>
      <c r="F20" s="987"/>
      <c r="G20" s="987"/>
      <c r="H20" s="987"/>
      <c r="I20" s="988"/>
      <c r="J20" s="989"/>
      <c r="K20" s="207"/>
    </row>
    <row r="21" spans="1:11" ht="15" customHeight="1">
      <c r="A21" s="986" t="s">
        <v>71</v>
      </c>
      <c r="B21" s="987"/>
      <c r="C21" s="987"/>
      <c r="D21" s="987"/>
      <c r="E21" s="987"/>
      <c r="F21" s="987"/>
      <c r="G21" s="987"/>
      <c r="H21" s="987"/>
      <c r="I21" s="988"/>
      <c r="J21" s="989"/>
      <c r="K21" s="207"/>
    </row>
    <row r="22" spans="1:11" ht="15" customHeight="1">
      <c r="A22" s="986" t="s">
        <v>278</v>
      </c>
      <c r="B22" s="987"/>
      <c r="C22" s="987"/>
      <c r="D22" s="987"/>
      <c r="E22" s="987"/>
      <c r="F22" s="987"/>
      <c r="G22" s="987"/>
      <c r="H22" s="987"/>
      <c r="I22" s="988"/>
      <c r="J22" s="989"/>
      <c r="K22" s="207"/>
    </row>
    <row r="23" spans="1:11" ht="15" customHeight="1">
      <c r="A23" s="986" t="s">
        <v>3736</v>
      </c>
      <c r="B23" s="987"/>
      <c r="C23" s="987"/>
      <c r="D23" s="987"/>
      <c r="E23" s="987"/>
      <c r="F23" s="987"/>
      <c r="G23" s="987"/>
      <c r="H23" s="987"/>
      <c r="I23" s="988"/>
      <c r="J23" s="989"/>
      <c r="K23" s="207"/>
    </row>
    <row r="24" spans="1:11" ht="24" customHeight="1">
      <c r="A24" s="986" t="s">
        <v>3737</v>
      </c>
      <c r="B24" s="987"/>
      <c r="C24" s="987"/>
      <c r="D24" s="987"/>
      <c r="E24" s="987"/>
      <c r="F24" s="987"/>
      <c r="G24" s="987"/>
      <c r="H24" s="987"/>
      <c r="I24" s="988"/>
      <c r="J24" s="989"/>
      <c r="K24" s="207"/>
    </row>
    <row r="25" spans="1:11" ht="15" customHeight="1">
      <c r="A25" s="986" t="s">
        <v>132</v>
      </c>
      <c r="B25" s="987"/>
      <c r="C25" s="987"/>
      <c r="D25" s="987"/>
      <c r="E25" s="987"/>
      <c r="F25" s="987"/>
      <c r="G25" s="987"/>
      <c r="H25" s="987"/>
      <c r="I25" s="988"/>
      <c r="J25" s="989"/>
      <c r="K25" s="207"/>
    </row>
    <row r="26" spans="1:11" ht="15" customHeight="1" thickBot="1">
      <c r="A26" s="1008" t="s">
        <v>72</v>
      </c>
      <c r="B26" s="1009"/>
      <c r="C26" s="1009"/>
      <c r="D26" s="1009"/>
      <c r="E26" s="1009"/>
      <c r="F26" s="1009"/>
      <c r="G26" s="1009"/>
      <c r="H26" s="1009"/>
      <c r="I26" s="1010"/>
      <c r="J26" s="1011"/>
      <c r="K26" s="208">
        <f>SUM(K4:K25)</f>
        <v>0</v>
      </c>
    </row>
    <row r="27" spans="1:11" ht="12" customHeight="1" thickBot="1">
      <c r="A27" s="1071"/>
      <c r="B27" s="1071"/>
      <c r="C27" s="1071"/>
      <c r="D27" s="1071"/>
      <c r="E27" s="1071"/>
      <c r="F27" s="1071"/>
      <c r="G27" s="1071"/>
      <c r="H27" s="1071"/>
      <c r="I27" s="1071"/>
      <c r="J27" s="1071"/>
      <c r="K27" s="1071"/>
    </row>
    <row r="28" spans="1:11" ht="12" customHeight="1" thickBot="1">
      <c r="A28" s="1072"/>
      <c r="B28" s="655"/>
      <c r="C28" s="655"/>
      <c r="D28" s="655"/>
      <c r="E28" s="655"/>
      <c r="F28" s="655"/>
      <c r="G28" s="655"/>
      <c r="H28" s="655"/>
      <c r="I28" s="655"/>
      <c r="J28" s="655"/>
      <c r="K28" s="655"/>
    </row>
    <row r="29" spans="1:11" ht="14.1" customHeight="1">
      <c r="A29" s="1054" t="s">
        <v>3470</v>
      </c>
      <c r="B29" s="871"/>
      <c r="C29" s="1056" t="s">
        <v>3469</v>
      </c>
      <c r="D29" s="1056"/>
      <c r="E29" s="992"/>
      <c r="F29" s="992"/>
      <c r="G29" s="992"/>
      <c r="H29" s="992"/>
      <c r="I29" s="992"/>
      <c r="J29" s="992"/>
      <c r="K29" s="993"/>
    </row>
    <row r="30" spans="1:11" ht="18" customHeight="1">
      <c r="A30" s="1051"/>
      <c r="B30" s="1052"/>
      <c r="C30" s="1057"/>
      <c r="D30" s="1058"/>
      <c r="E30" s="697"/>
      <c r="F30" s="697"/>
      <c r="G30" s="697"/>
      <c r="H30" s="697"/>
      <c r="I30" s="697"/>
      <c r="J30" s="697"/>
      <c r="K30" s="1053"/>
    </row>
    <row r="31" spans="1:11" ht="14.1" customHeight="1">
      <c r="A31" s="1045" t="s">
        <v>279</v>
      </c>
      <c r="B31" s="1000"/>
      <c r="C31" s="1000"/>
      <c r="D31" s="1000"/>
      <c r="E31" s="1000"/>
      <c r="F31" s="1000"/>
      <c r="G31" s="1000"/>
      <c r="H31" s="1000"/>
      <c r="I31" s="1000"/>
      <c r="J31" s="1000"/>
      <c r="K31" s="1046"/>
    </row>
    <row r="32" spans="1:11" ht="18" customHeight="1">
      <c r="A32" s="1047" t="str">
        <f>+CONCATENATE(ZAKL_DATA!D21," ",ZAKL_DATA!D20," ",ZAKL_DATA!D22)</f>
        <v xml:space="preserve">  </v>
      </c>
      <c r="B32" s="1048"/>
      <c r="C32" s="1048"/>
      <c r="D32" s="1048"/>
      <c r="E32" s="1048"/>
      <c r="F32" s="1048"/>
      <c r="G32" s="1048"/>
      <c r="H32" s="1048"/>
      <c r="I32" s="1048"/>
      <c r="J32" s="1048"/>
      <c r="K32" s="1049"/>
    </row>
    <row r="33" spans="1:11" ht="14.1" customHeight="1">
      <c r="A33" s="1045" t="s">
        <v>34</v>
      </c>
      <c r="B33" s="1000"/>
      <c r="C33" s="1000"/>
      <c r="D33" s="1000"/>
      <c r="E33" s="1000"/>
      <c r="F33" s="1000"/>
      <c r="G33" s="1000"/>
      <c r="H33" s="1000"/>
      <c r="I33" s="1000"/>
      <c r="J33" s="1000"/>
      <c r="K33" s="1046"/>
    </row>
    <row r="34" spans="1:11" ht="18" customHeight="1">
      <c r="A34" s="1047"/>
      <c r="B34" s="1048"/>
      <c r="C34" s="1048"/>
      <c r="D34" s="1048"/>
      <c r="E34" s="1048"/>
      <c r="F34" s="1048"/>
      <c r="G34" s="1048"/>
      <c r="H34" s="1048"/>
      <c r="I34" s="1048"/>
      <c r="J34" s="1048"/>
      <c r="K34" s="1049"/>
    </row>
    <row r="35" spans="1:11" ht="14.1" customHeight="1">
      <c r="A35" s="1050" t="s">
        <v>3685</v>
      </c>
      <c r="B35" s="1000"/>
      <c r="C35" s="1000"/>
      <c r="D35" s="1000"/>
      <c r="E35" s="1000"/>
      <c r="F35" s="1000"/>
      <c r="G35" s="1000"/>
      <c r="H35" s="1000"/>
      <c r="I35" s="1000"/>
      <c r="J35" s="1000"/>
      <c r="K35" s="1046"/>
    </row>
    <row r="36" spans="1:11" ht="14.1" customHeight="1">
      <c r="A36" s="1050" t="s">
        <v>3471</v>
      </c>
      <c r="B36" s="1000"/>
      <c r="C36" s="1000"/>
      <c r="D36" s="1000"/>
      <c r="E36" s="1000"/>
      <c r="F36" s="1000"/>
      <c r="G36" s="1000"/>
      <c r="H36" s="1000"/>
      <c r="I36" s="1000"/>
      <c r="J36" s="1000"/>
      <c r="K36" s="1046"/>
    </row>
    <row r="37" spans="1:11" ht="14.1" customHeight="1">
      <c r="A37" s="1045" t="s">
        <v>280</v>
      </c>
      <c r="B37" s="1000"/>
      <c r="C37" s="1000"/>
      <c r="D37" s="1000"/>
      <c r="E37" s="1000"/>
      <c r="F37" s="1000"/>
      <c r="G37" s="1000"/>
      <c r="H37" s="1000"/>
      <c r="I37" s="1000"/>
      <c r="J37" s="1000"/>
      <c r="K37" s="1046"/>
    </row>
    <row r="38" spans="1:11" ht="18" customHeight="1">
      <c r="A38" s="1047" t="str">
        <f>+CONCATENATE(ZAKL_DATA!D21," ",ZAKL_DATA!D20," ",ZAKL_DATA!D22)</f>
        <v xml:space="preserve">  </v>
      </c>
      <c r="B38" s="1048"/>
      <c r="C38" s="1048"/>
      <c r="D38" s="1048"/>
      <c r="E38" s="1048"/>
      <c r="F38" s="1048"/>
      <c r="G38" s="1048"/>
      <c r="H38" s="1048"/>
      <c r="I38" s="1048"/>
      <c r="J38" s="1048"/>
      <c r="K38" s="1049"/>
    </row>
    <row r="39" spans="1:11" ht="5.0999999999999996" customHeight="1" thickBot="1">
      <c r="A39" s="1042"/>
      <c r="B39" s="1043"/>
      <c r="C39" s="1043"/>
      <c r="D39" s="1043"/>
      <c r="E39" s="1043"/>
      <c r="F39" s="1043"/>
      <c r="G39" s="1043"/>
      <c r="H39" s="1043"/>
      <c r="I39" s="1043"/>
      <c r="J39" s="1043"/>
      <c r="K39" s="1044"/>
    </row>
    <row r="40" spans="1:11" ht="5.0999999999999996" customHeight="1" thickBot="1">
      <c r="A40" s="999"/>
      <c r="B40" s="1000"/>
      <c r="C40" s="1000"/>
      <c r="D40" s="1000"/>
      <c r="E40" s="1000"/>
      <c r="F40" s="1000"/>
      <c r="G40" s="1000"/>
      <c r="H40" s="1000"/>
      <c r="I40" s="1000"/>
      <c r="J40" s="1000"/>
      <c r="K40" s="1000"/>
    </row>
    <row r="41" spans="1:11" ht="18" customHeight="1">
      <c r="A41" s="1001" t="s">
        <v>3940</v>
      </c>
      <c r="B41" s="1002"/>
      <c r="C41" s="1002"/>
      <c r="D41" s="1002"/>
      <c r="E41" s="1002"/>
      <c r="F41" s="1002"/>
      <c r="G41" s="1002"/>
      <c r="H41" s="1002"/>
      <c r="I41" s="1002"/>
      <c r="J41" s="1002"/>
      <c r="K41" s="1003"/>
    </row>
    <row r="42" spans="1:11" ht="21.75" customHeight="1">
      <c r="A42" s="997" t="s">
        <v>347</v>
      </c>
      <c r="B42" s="998"/>
      <c r="C42" s="1055" t="s">
        <v>3472</v>
      </c>
      <c r="D42" s="1055"/>
      <c r="E42" s="1055"/>
      <c r="F42" s="1055"/>
      <c r="G42" s="994" t="s">
        <v>282</v>
      </c>
      <c r="H42" s="995"/>
      <c r="I42" s="995"/>
      <c r="J42" s="995"/>
      <c r="K42" s="996"/>
    </row>
    <row r="43" spans="1:11" ht="18" customHeight="1">
      <c r="A43" s="1006">
        <f ca="1">+TODAY()</f>
        <v>45664</v>
      </c>
      <c r="B43" s="1007"/>
      <c r="C43" s="1055"/>
      <c r="D43" s="1055"/>
      <c r="E43" s="1055"/>
      <c r="F43" s="1055"/>
      <c r="G43" s="1075"/>
      <c r="H43" s="1076"/>
      <c r="I43" s="1076"/>
      <c r="J43" s="1076"/>
      <c r="K43" s="1077"/>
    </row>
    <row r="44" spans="1:11" ht="18" customHeight="1">
      <c r="A44" s="1004"/>
      <c r="B44" s="1005"/>
      <c r="C44" s="1055"/>
      <c r="D44" s="1055"/>
      <c r="E44" s="1055"/>
      <c r="F44" s="1055"/>
      <c r="G44" s="1078"/>
      <c r="H44" s="1079"/>
      <c r="I44" s="1079"/>
      <c r="J44" s="1079"/>
      <c r="K44" s="1080"/>
    </row>
    <row r="45" spans="1:11" ht="5.0999999999999996" customHeight="1" thickBot="1">
      <c r="A45" s="1073"/>
      <c r="B45" s="711"/>
      <c r="C45" s="711"/>
      <c r="D45" s="711"/>
      <c r="E45" s="711"/>
      <c r="F45" s="711"/>
      <c r="G45" s="711"/>
      <c r="H45" s="711"/>
      <c r="I45" s="711"/>
      <c r="J45" s="711"/>
      <c r="K45" s="1074"/>
    </row>
    <row r="46" spans="1:11" ht="5.0999999999999996" customHeight="1">
      <c r="A46" s="679"/>
      <c r="B46" s="676"/>
      <c r="C46" s="676"/>
      <c r="D46" s="676"/>
      <c r="E46" s="676"/>
      <c r="F46" s="676"/>
      <c r="G46" s="676"/>
      <c r="H46" s="676"/>
      <c r="I46" s="676"/>
      <c r="J46" s="676"/>
      <c r="K46" s="676"/>
    </row>
    <row r="47" spans="1:11" s="19" customFormat="1" ht="14.1" customHeight="1">
      <c r="A47" s="673"/>
      <c r="B47" s="655"/>
      <c r="C47" s="655"/>
      <c r="D47" s="655"/>
      <c r="E47" s="655"/>
      <c r="F47" s="1066" t="s">
        <v>234</v>
      </c>
      <c r="G47" s="776"/>
      <c r="H47" s="776"/>
      <c r="I47" s="776"/>
      <c r="J47" s="776"/>
      <c r="K47" s="777"/>
    </row>
    <row r="48" spans="1:11" s="19" customFormat="1" ht="9.9499999999999993" customHeight="1">
      <c r="A48" s="1018" t="s">
        <v>127</v>
      </c>
      <c r="B48" s="655"/>
      <c r="C48" s="655"/>
      <c r="D48" s="655"/>
      <c r="E48" s="655"/>
      <c r="F48" s="778"/>
      <c r="G48" s="655"/>
      <c r="H48" s="655"/>
      <c r="I48" s="655"/>
      <c r="J48" s="655"/>
      <c r="K48" s="760"/>
    </row>
    <row r="49" spans="1:11" s="19" customFormat="1" ht="18" customHeight="1">
      <c r="A49" s="1016" t="s">
        <v>3473</v>
      </c>
      <c r="B49" s="1017"/>
      <c r="C49" s="1017"/>
      <c r="D49" s="1017"/>
      <c r="E49" s="1017"/>
      <c r="F49" s="778"/>
      <c r="G49" s="655"/>
      <c r="H49" s="655"/>
      <c r="I49" s="655"/>
      <c r="J49" s="655"/>
      <c r="K49" s="760"/>
    </row>
    <row r="50" spans="1:11" s="19" customFormat="1" ht="18" customHeight="1">
      <c r="A50" s="990" t="s">
        <v>73</v>
      </c>
      <c r="B50" s="991"/>
      <c r="C50" s="991"/>
      <c r="D50" s="991"/>
      <c r="E50" s="991"/>
      <c r="F50" s="1067"/>
      <c r="G50" s="655"/>
      <c r="H50" s="655"/>
      <c r="I50" s="655"/>
      <c r="J50" s="655"/>
      <c r="K50" s="1068"/>
    </row>
    <row r="51" spans="1:11" s="19" customFormat="1" ht="13.5" customHeight="1">
      <c r="A51" s="1064" t="s">
        <v>3785</v>
      </c>
      <c r="B51" s="1065"/>
      <c r="C51" s="1065"/>
      <c r="D51" s="1065"/>
      <c r="E51" s="1065"/>
      <c r="F51" s="779"/>
      <c r="G51" s="780"/>
      <c r="H51" s="780"/>
      <c r="I51" s="780"/>
      <c r="J51" s="780"/>
      <c r="K51" s="781"/>
    </row>
    <row r="52" spans="1:11" s="19" customFormat="1" ht="5.0999999999999996" customHeight="1" thickBot="1">
      <c r="A52" s="691"/>
      <c r="B52" s="1069"/>
      <c r="C52" s="1069"/>
      <c r="D52" s="1069"/>
      <c r="E52" s="1069"/>
      <c r="F52" s="1069"/>
      <c r="G52" s="1069"/>
      <c r="H52" s="1069"/>
      <c r="I52" s="1069"/>
      <c r="J52" s="1069"/>
      <c r="K52" s="1069"/>
    </row>
    <row r="53" spans="1:11" s="19" customFormat="1" ht="18" customHeight="1">
      <c r="A53" s="1061" t="s">
        <v>3474</v>
      </c>
      <c r="B53" s="1062"/>
      <c r="C53" s="1062"/>
      <c r="D53" s="1062"/>
      <c r="E53" s="1062"/>
      <c r="F53" s="1062"/>
      <c r="G53" s="1062"/>
      <c r="H53" s="1062"/>
      <c r="I53" s="1062"/>
      <c r="J53" s="1062"/>
      <c r="K53" s="1063"/>
    </row>
    <row r="54" spans="1:11" s="19" customFormat="1" ht="18" customHeight="1">
      <c r="A54" s="1059" t="s">
        <v>3941</v>
      </c>
      <c r="B54" s="1021"/>
      <c r="C54" s="1021"/>
      <c r="D54" s="1021"/>
      <c r="E54" s="1021"/>
      <c r="F54" s="1021"/>
      <c r="G54" s="1021"/>
      <c r="H54" s="1021"/>
      <c r="I54" s="1021"/>
      <c r="J54" s="1021"/>
      <c r="K54" s="1060"/>
    </row>
    <row r="55" spans="1:11" s="19" customFormat="1" ht="18" customHeight="1">
      <c r="A55" s="1059" t="s">
        <v>165</v>
      </c>
      <c r="B55" s="655"/>
      <c r="C55" s="655"/>
      <c r="D55" s="1022">
        <f>MAX(-'DAP3'!D48,-'DAP3'!D35,0)</f>
        <v>0</v>
      </c>
      <c r="E55" s="1023"/>
      <c r="F55" s="1023"/>
      <c r="G55" s="1023"/>
      <c r="H55" s="1023"/>
      <c r="I55" s="1023"/>
      <c r="J55" s="1024"/>
      <c r="K55" s="104" t="s">
        <v>36</v>
      </c>
    </row>
    <row r="56" spans="1:11" s="19" customFormat="1" ht="18" customHeight="1">
      <c r="A56" s="1059" t="s">
        <v>3475</v>
      </c>
      <c r="B56" s="655"/>
      <c r="C56" s="1070" t="str">
        <f>IF(D55=0," ",+CONCATENATE(ZAKL_DATA!B16," ",ZAKL_DATA!B17,", ",ZAKL_DATA!B18))</f>
        <v xml:space="preserve"> </v>
      </c>
      <c r="D56" s="1024"/>
      <c r="E56" s="1024"/>
      <c r="F56" s="1024"/>
      <c r="G56" s="1024"/>
      <c r="H56" s="1024"/>
      <c r="I56" s="1024"/>
      <c r="J56" s="1024"/>
      <c r="K56" s="104"/>
    </row>
    <row r="57" spans="1:11" s="19" customFormat="1" ht="18" customHeight="1">
      <c r="A57" s="103" t="s">
        <v>3717</v>
      </c>
      <c r="B57" s="75"/>
      <c r="C57" s="1023" t="str">
        <f>IF(D55=0," ",+CONCATENATE(ZAKL_DATA!B34))</f>
        <v xml:space="preserve"> </v>
      </c>
      <c r="D57" s="1024"/>
      <c r="E57" s="1024"/>
      <c r="F57" s="259" t="s">
        <v>217</v>
      </c>
      <c r="G57" s="1023" t="str">
        <f>IF(D55=0," ",+CONCATENATE(ZAKL_DATA!B32))</f>
        <v xml:space="preserve"> </v>
      </c>
      <c r="H57" s="1023"/>
      <c r="I57" s="1023"/>
      <c r="J57" s="1023"/>
      <c r="K57" s="104"/>
    </row>
    <row r="58" spans="1:11" s="19" customFormat="1" ht="18" customHeight="1">
      <c r="A58" s="103" t="s">
        <v>35</v>
      </c>
      <c r="B58" s="1020" t="str">
        <f>IF(D55=0," ",+CONCATENATE(ZAKL_DATA!B33))</f>
        <v xml:space="preserve"> </v>
      </c>
      <c r="C58" s="1020"/>
      <c r="D58" s="1020"/>
      <c r="E58" s="1021" t="s">
        <v>219</v>
      </c>
      <c r="F58" s="1021"/>
      <c r="G58" s="1021"/>
      <c r="H58" s="1025"/>
      <c r="I58" s="1025"/>
      <c r="J58" s="1025"/>
      <c r="K58" s="104"/>
    </row>
    <row r="59" spans="1:11" s="19" customFormat="1" ht="18" customHeight="1">
      <c r="A59" s="103" t="s">
        <v>197</v>
      </c>
      <c r="B59" s="1026" t="str">
        <f>IF(D55=0," ",+CONCATENATE('DAP1'!B28," ",'DAP1'!J28))</f>
        <v xml:space="preserve"> </v>
      </c>
      <c r="C59" s="1026"/>
      <c r="D59" s="1027" t="s">
        <v>3476</v>
      </c>
      <c r="E59" s="655"/>
      <c r="F59" s="655"/>
      <c r="G59" s="655"/>
      <c r="H59" s="1019" t="s">
        <v>193</v>
      </c>
      <c r="I59" s="1019"/>
      <c r="J59" s="1019"/>
      <c r="K59" s="104"/>
    </row>
    <row r="60" spans="1:11" s="19" customFormat="1" ht="36" customHeight="1" thickBot="1">
      <c r="A60" s="1028" t="str">
        <f>CONCATENATE(+'DAP1'!B31,", dne ")</f>
        <v xml:space="preserve">0, dne </v>
      </c>
      <c r="B60" s="1029"/>
      <c r="C60" s="494">
        <f ca="1">+TODAY()</f>
        <v>45664</v>
      </c>
      <c r="D60" s="1030" t="s">
        <v>3729</v>
      </c>
      <c r="E60" s="1031"/>
      <c r="F60" s="1032"/>
      <c r="G60" s="1033"/>
      <c r="H60" s="1033"/>
      <c r="I60" s="1033"/>
      <c r="J60" s="1033"/>
      <c r="K60" s="1034"/>
    </row>
    <row r="61" spans="1:11">
      <c r="A61" s="1013" t="str">
        <f>+'DAP1'!A46:L46</f>
        <v>Formulář zpracovala ASPEKT HM, daňová, účetní a auditorská kancelář, www.danovapriznani.cz, business.center.cz</v>
      </c>
      <c r="B61" s="1014"/>
      <c r="C61" s="1014"/>
      <c r="D61" s="1014"/>
      <c r="E61" s="1014"/>
      <c r="F61" s="1014"/>
      <c r="G61" s="1014"/>
      <c r="H61" s="1014"/>
      <c r="I61" s="1014"/>
      <c r="J61" s="1014"/>
      <c r="K61" s="1015"/>
    </row>
    <row r="62" spans="1:11">
      <c r="A62" s="861">
        <v>4</v>
      </c>
      <c r="B62" s="861"/>
      <c r="C62" s="861"/>
      <c r="D62" s="861"/>
      <c r="E62" s="861"/>
      <c r="F62" s="861"/>
      <c r="G62" s="861"/>
      <c r="H62" s="861"/>
      <c r="I62" s="861"/>
      <c r="J62" s="861"/>
      <c r="K62" s="1012"/>
    </row>
    <row r="65" spans="1:11">
      <c r="A65" s="19"/>
      <c r="B65" s="19"/>
      <c r="C65" s="19"/>
      <c r="D65" s="19"/>
      <c r="E65" s="19"/>
      <c r="F65" s="19"/>
      <c r="G65" s="19"/>
      <c r="H65" s="19"/>
      <c r="I65" s="19"/>
      <c r="J65" s="19"/>
      <c r="K65" s="19"/>
    </row>
    <row r="66" spans="1:11">
      <c r="A66" s="19"/>
      <c r="B66" s="19"/>
      <c r="C66" s="19"/>
      <c r="D66" s="19"/>
      <c r="E66" s="19"/>
      <c r="F66" s="19"/>
      <c r="G66" s="19"/>
      <c r="H66" s="19"/>
      <c r="I66" s="19"/>
      <c r="J66" s="19"/>
      <c r="K66" s="19"/>
    </row>
    <row r="67" spans="1:11">
      <c r="A67" s="19"/>
      <c r="B67" s="19"/>
      <c r="C67" s="19"/>
      <c r="D67" s="19"/>
      <c r="E67" s="19"/>
      <c r="F67" s="19"/>
      <c r="G67" s="19"/>
      <c r="H67" s="19"/>
      <c r="I67" s="19"/>
      <c r="J67" s="19"/>
      <c r="K67" s="19"/>
    </row>
    <row r="68" spans="1:11">
      <c r="A68" s="19"/>
      <c r="B68" s="19"/>
      <c r="C68" s="19"/>
      <c r="D68" s="19"/>
      <c r="E68" s="19"/>
      <c r="F68" s="19"/>
      <c r="G68" s="19"/>
      <c r="H68" s="19"/>
      <c r="I68" s="19"/>
      <c r="J68" s="19"/>
      <c r="K68" s="19"/>
    </row>
  </sheetData>
  <sheetProtection algorithmName="SHA-512" hashValue="KkUDpXjfhEKrlmSyC9TMpHBgmFOAxZFzWaI62CdJvnW0M9gN10liLuuSUSiwHgVGlJEh1eT6vP7btNQW6JCn4g==" saltValue="V3rDwXsn8du1Fp6fzMneag==" spinCount="100000" sheet="1" objects="1" scenarios="1"/>
  <mergeCells count="79">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 ref="C42:F44"/>
    <mergeCell ref="A31:K31"/>
    <mergeCell ref="C29:D29"/>
    <mergeCell ref="C30:D30"/>
    <mergeCell ref="A32:K32"/>
    <mergeCell ref="A17:J17"/>
    <mergeCell ref="A21:J21"/>
    <mergeCell ref="A22:J22"/>
    <mergeCell ref="A23:J23"/>
    <mergeCell ref="A24:J24"/>
    <mergeCell ref="A13:J13"/>
    <mergeCell ref="A12:J12"/>
    <mergeCell ref="A10:J10"/>
    <mergeCell ref="A15:J15"/>
    <mergeCell ref="A16:J16"/>
    <mergeCell ref="A14:J14"/>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s>
  <phoneticPr fontId="11" type="noConversion"/>
  <printOptions horizontalCentered="1" verticalCentered="1"/>
  <pageMargins left="0.19685039370078741" right="0.19685039370078741" top="0.39370078740157483" bottom="0.19685039370078741" header="0.51181102362204722" footer="0.51181102362204722"/>
  <pageSetup paperSize="9" scale="8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theme="6" tint="0.59999389629810485"/>
  </sheetPr>
  <dimension ref="A1:E49"/>
  <sheetViews>
    <sheetView workbookViewId="0">
      <selection activeCell="C30" sqref="C30"/>
    </sheetView>
  </sheetViews>
  <sheetFormatPr defaultColWidth="9.140625" defaultRowHeight="12.75"/>
  <cols>
    <col min="1" max="1" width="37.140625" style="45" customWidth="1"/>
    <col min="2" max="3" width="29.85546875" style="45" customWidth="1"/>
    <col min="4" max="16384" width="9.140625" style="45"/>
  </cols>
  <sheetData>
    <row r="1" spans="1:5">
      <c r="A1" s="1081" t="s">
        <v>3516</v>
      </c>
      <c r="B1" s="1081"/>
      <c r="C1" s="1081"/>
    </row>
    <row r="2" spans="1:5" ht="18">
      <c r="A2" s="1086" t="s">
        <v>230</v>
      </c>
      <c r="B2" s="1086"/>
      <c r="C2" s="1086"/>
      <c r="D2" s="46"/>
      <c r="E2" s="46"/>
    </row>
    <row r="3" spans="1:5" ht="15.75">
      <c r="A3" s="1087" t="s">
        <v>3942</v>
      </c>
      <c r="B3" s="1087"/>
      <c r="C3" s="1087"/>
      <c r="D3" s="46"/>
      <c r="E3" s="46"/>
    </row>
    <row r="4" spans="1:5">
      <c r="A4" s="1088"/>
      <c r="B4" s="1088"/>
      <c r="C4" s="1088"/>
      <c r="D4" s="46"/>
      <c r="E4" s="46"/>
    </row>
    <row r="5" spans="1:5" ht="16.5" thickBot="1">
      <c r="A5" s="47" t="s">
        <v>8</v>
      </c>
      <c r="B5" s="1083" t="str">
        <f>+CONCATENATE(ZAKL_DATA!B5," ",ZAKL_DATA!B4," ",ZAKL_DATA!B7)</f>
        <v xml:space="preserve">  </v>
      </c>
      <c r="C5" s="1084"/>
      <c r="D5" s="46"/>
      <c r="E5" s="46"/>
    </row>
    <row r="6" spans="1:5" ht="15.95" customHeight="1" thickBot="1">
      <c r="A6" s="48" t="s">
        <v>9</v>
      </c>
      <c r="B6" s="49" t="s">
        <v>10</v>
      </c>
      <c r="C6" s="50" t="s">
        <v>11</v>
      </c>
      <c r="D6" s="46"/>
      <c r="E6" s="46"/>
    </row>
    <row r="7" spans="1:5" ht="15.95" customHeight="1">
      <c r="A7" s="51" t="s">
        <v>12</v>
      </c>
      <c r="B7" s="146">
        <v>0</v>
      </c>
      <c r="C7" s="147">
        <v>0</v>
      </c>
      <c r="D7" s="46"/>
      <c r="E7" s="46"/>
    </row>
    <row r="8" spans="1:5" ht="15.95" customHeight="1">
      <c r="A8" s="52" t="s">
        <v>94</v>
      </c>
      <c r="B8" s="148">
        <v>0</v>
      </c>
      <c r="C8" s="149">
        <v>0</v>
      </c>
      <c r="D8" s="46"/>
      <c r="E8" s="46"/>
    </row>
    <row r="9" spans="1:5" ht="15.95" customHeight="1">
      <c r="A9" s="52" t="s">
        <v>295</v>
      </c>
      <c r="B9" s="148">
        <v>0</v>
      </c>
      <c r="C9" s="149">
        <v>0</v>
      </c>
      <c r="D9" s="46"/>
      <c r="E9" s="46"/>
    </row>
    <row r="10" spans="1:5" ht="15.95" customHeight="1">
      <c r="A10" s="52" t="s">
        <v>298</v>
      </c>
      <c r="B10" s="148">
        <v>0</v>
      </c>
      <c r="C10" s="149">
        <v>0</v>
      </c>
      <c r="D10" s="46"/>
      <c r="E10" s="46"/>
    </row>
    <row r="11" spans="1:5" ht="15.95" customHeight="1">
      <c r="A11" s="52" t="s">
        <v>95</v>
      </c>
      <c r="B11" s="148">
        <v>0</v>
      </c>
      <c r="C11" s="149">
        <v>0</v>
      </c>
      <c r="D11" s="46"/>
      <c r="E11" s="46"/>
    </row>
    <row r="12" spans="1:5" ht="15.95" customHeight="1">
      <c r="A12" s="52" t="s">
        <v>136</v>
      </c>
      <c r="B12" s="148">
        <v>0</v>
      </c>
      <c r="C12" s="149">
        <v>0</v>
      </c>
      <c r="D12" s="46"/>
      <c r="E12" s="46"/>
    </row>
    <row r="13" spans="1:5" ht="15.95" customHeight="1">
      <c r="A13" s="52" t="s">
        <v>3517</v>
      </c>
      <c r="B13" s="148">
        <v>0</v>
      </c>
      <c r="C13" s="149">
        <v>0</v>
      </c>
      <c r="D13" s="46"/>
      <c r="E13" s="46"/>
    </row>
    <row r="14" spans="1:5" ht="15.95" customHeight="1">
      <c r="A14" s="52" t="s">
        <v>3518</v>
      </c>
      <c r="B14" s="148">
        <v>0</v>
      </c>
      <c r="C14" s="149">
        <v>0</v>
      </c>
      <c r="D14" s="46"/>
      <c r="E14" s="46"/>
    </row>
    <row r="15" spans="1:5" ht="15.95" customHeight="1">
      <c r="A15" s="52" t="s">
        <v>13</v>
      </c>
      <c r="B15" s="148">
        <v>0</v>
      </c>
      <c r="C15" s="149">
        <v>0</v>
      </c>
      <c r="D15" s="46"/>
      <c r="E15" s="46"/>
    </row>
    <row r="16" spans="1:5" ht="15.95" customHeight="1">
      <c r="A16" s="53" t="s">
        <v>14</v>
      </c>
      <c r="B16" s="150">
        <f>SUM(B7:B15)</f>
        <v>0</v>
      </c>
      <c r="C16" s="151">
        <f>SUM(C7:C15)</f>
        <v>0</v>
      </c>
      <c r="D16" s="46"/>
      <c r="E16" s="46"/>
    </row>
    <row r="17" spans="1:5" ht="15.95" customHeight="1" thickBot="1">
      <c r="A17" s="54" t="s">
        <v>15</v>
      </c>
      <c r="B17" s="152">
        <f>SUM(B7:B16)</f>
        <v>0</v>
      </c>
      <c r="C17" s="153">
        <f>SUM(C7:C16)</f>
        <v>0</v>
      </c>
      <c r="D17" s="46"/>
      <c r="E17" s="46"/>
    </row>
    <row r="18" spans="1:5" ht="15.95" customHeight="1" thickBot="1">
      <c r="A18" s="55" t="s">
        <v>16</v>
      </c>
      <c r="B18" s="154"/>
      <c r="C18" s="155"/>
      <c r="D18" s="46"/>
      <c r="E18" s="46"/>
    </row>
    <row r="19" spans="1:5" ht="15.95" customHeight="1">
      <c r="A19" s="51" t="s">
        <v>3519</v>
      </c>
      <c r="B19" s="146">
        <v>0</v>
      </c>
      <c r="C19" s="147">
        <v>0</v>
      </c>
      <c r="D19" s="46"/>
      <c r="E19" s="46"/>
    </row>
    <row r="20" spans="1:5" ht="15.95" customHeight="1">
      <c r="A20" s="52" t="s">
        <v>3520</v>
      </c>
      <c r="B20" s="148">
        <v>0</v>
      </c>
      <c r="C20" s="149">
        <v>0</v>
      </c>
      <c r="D20" s="46"/>
      <c r="E20" s="46"/>
    </row>
    <row r="21" spans="1:5" ht="15.95" customHeight="1">
      <c r="A21" s="52" t="s">
        <v>17</v>
      </c>
      <c r="B21" s="148">
        <v>0</v>
      </c>
      <c r="C21" s="149">
        <v>0</v>
      </c>
      <c r="D21" s="46"/>
      <c r="E21" s="46"/>
    </row>
    <row r="22" spans="1:5" ht="15.95" customHeight="1">
      <c r="A22" s="52" t="s">
        <v>299</v>
      </c>
      <c r="B22" s="148">
        <v>0</v>
      </c>
      <c r="C22" s="149">
        <v>0</v>
      </c>
      <c r="D22" s="46"/>
      <c r="E22" s="46"/>
    </row>
    <row r="23" spans="1:5" ht="15.95" customHeight="1">
      <c r="A23" s="53" t="s">
        <v>18</v>
      </c>
      <c r="B23" s="150">
        <f>SUM(B19:B22)</f>
        <v>0</v>
      </c>
      <c r="C23" s="151">
        <f>SUM(C19:C22)</f>
        <v>0</v>
      </c>
      <c r="D23" s="46"/>
      <c r="E23" s="46"/>
    </row>
    <row r="24" spans="1:5" ht="15.95" customHeight="1">
      <c r="A24" s="53" t="s">
        <v>3521</v>
      </c>
      <c r="B24" s="150">
        <f>B16-B23</f>
        <v>0</v>
      </c>
      <c r="C24" s="151">
        <f>C16-C23</f>
        <v>0</v>
      </c>
      <c r="D24" s="46"/>
      <c r="E24" s="46"/>
    </row>
    <row r="25" spans="1:5" ht="15.95" customHeight="1" thickBot="1">
      <c r="A25" s="54" t="s">
        <v>15</v>
      </c>
      <c r="B25" s="152">
        <f>SUM(B19:B24)</f>
        <v>0</v>
      </c>
      <c r="C25" s="153">
        <f>SUM(C19:C24)</f>
        <v>0</v>
      </c>
      <c r="D25" s="46"/>
      <c r="E25" s="46"/>
    </row>
    <row r="26" spans="1:5" ht="15.95" customHeight="1">
      <c r="A26" s="1089"/>
      <c r="B26" s="695"/>
      <c r="C26" s="695"/>
      <c r="D26" s="46"/>
      <c r="E26" s="46"/>
    </row>
    <row r="27" spans="1:5" ht="15.95" customHeight="1" thickBot="1">
      <c r="A27" s="1085" t="s">
        <v>19</v>
      </c>
      <c r="B27" s="711"/>
      <c r="C27" s="711"/>
      <c r="D27" s="46"/>
      <c r="E27" s="46"/>
    </row>
    <row r="28" spans="1:5" ht="15.95" customHeight="1" thickBot="1">
      <c r="A28" s="48" t="s">
        <v>139</v>
      </c>
      <c r="B28" s="56"/>
      <c r="C28" s="57" t="s">
        <v>11</v>
      </c>
    </row>
    <row r="29" spans="1:5" ht="15.95" customHeight="1">
      <c r="A29" s="51" t="s">
        <v>20</v>
      </c>
      <c r="B29" s="58"/>
      <c r="C29" s="156">
        <v>0</v>
      </c>
    </row>
    <row r="30" spans="1:5" ht="15.95" customHeight="1">
      <c r="A30" s="52" t="s">
        <v>21</v>
      </c>
      <c r="B30" s="59"/>
      <c r="C30" s="157">
        <v>0</v>
      </c>
    </row>
    <row r="31" spans="1:5" ht="15.95" customHeight="1">
      <c r="A31" s="52" t="s">
        <v>22</v>
      </c>
      <c r="B31" s="59"/>
      <c r="C31" s="157">
        <v>0</v>
      </c>
    </row>
    <row r="32" spans="1:5" ht="15.95" customHeight="1">
      <c r="A32" s="62" t="s">
        <v>3522</v>
      </c>
      <c r="B32" s="59"/>
      <c r="C32" s="157">
        <v>0</v>
      </c>
    </row>
    <row r="33" spans="1:3" ht="15.95" customHeight="1">
      <c r="A33" s="52" t="s">
        <v>23</v>
      </c>
      <c r="B33" s="59"/>
      <c r="C33" s="157">
        <v>0</v>
      </c>
    </row>
    <row r="34" spans="1:3" ht="15.95" customHeight="1">
      <c r="A34" s="64" t="s">
        <v>24</v>
      </c>
      <c r="B34" s="63"/>
      <c r="C34" s="158">
        <f>+C29+C30+C31+C33</f>
        <v>0</v>
      </c>
    </row>
    <row r="35" spans="1:3" ht="15.95" customHeight="1" thickBot="1">
      <c r="A35" s="54" t="s">
        <v>15</v>
      </c>
      <c r="B35" s="60"/>
      <c r="C35" s="159">
        <f>SUM(C29:C33)</f>
        <v>0</v>
      </c>
    </row>
    <row r="36" spans="1:3" ht="15.95" customHeight="1" thickBot="1">
      <c r="A36" s="55" t="s">
        <v>140</v>
      </c>
      <c r="B36" s="61"/>
      <c r="C36" s="160"/>
    </row>
    <row r="37" spans="1:3" ht="15.95" customHeight="1">
      <c r="A37" s="51" t="s">
        <v>25</v>
      </c>
      <c r="B37" s="58"/>
      <c r="C37" s="156">
        <v>0</v>
      </c>
    </row>
    <row r="38" spans="1:3" ht="15.95" customHeight="1">
      <c r="A38" s="52" t="s">
        <v>26</v>
      </c>
      <c r="B38" s="59"/>
      <c r="C38" s="157">
        <v>0</v>
      </c>
    </row>
    <row r="39" spans="1:3" ht="15.95" customHeight="1">
      <c r="A39" s="52" t="s">
        <v>27</v>
      </c>
      <c r="B39" s="59"/>
      <c r="C39" s="157">
        <v>0</v>
      </c>
    </row>
    <row r="40" spans="1:3" ht="15.95" customHeight="1">
      <c r="A40" s="52" t="s">
        <v>318</v>
      </c>
      <c r="B40" s="59"/>
      <c r="C40" s="157">
        <v>0</v>
      </c>
    </row>
    <row r="41" spans="1:3" ht="15.95" customHeight="1">
      <c r="A41" s="52" t="s">
        <v>28</v>
      </c>
      <c r="B41" s="59"/>
      <c r="C41" s="157">
        <v>0</v>
      </c>
    </row>
    <row r="42" spans="1:3" ht="15.95" customHeight="1">
      <c r="A42" s="52" t="s">
        <v>29</v>
      </c>
      <c r="B42" s="59"/>
      <c r="C42" s="157">
        <v>0</v>
      </c>
    </row>
    <row r="43" spans="1:3" ht="15.95" customHeight="1">
      <c r="A43" s="62" t="s">
        <v>3523</v>
      </c>
      <c r="B43" s="59"/>
      <c r="C43" s="157">
        <v>0</v>
      </c>
    </row>
    <row r="44" spans="1:3" ht="15.95" customHeight="1">
      <c r="A44" s="62" t="s">
        <v>3524</v>
      </c>
      <c r="B44" s="59"/>
      <c r="C44" s="157">
        <v>0</v>
      </c>
    </row>
    <row r="45" spans="1:3" ht="15.95" customHeight="1">
      <c r="A45" s="62" t="s">
        <v>3525</v>
      </c>
      <c r="B45" s="59"/>
      <c r="C45" s="157">
        <v>0</v>
      </c>
    </row>
    <row r="46" spans="1:3" ht="15.95" customHeight="1">
      <c r="A46" s="64" t="s">
        <v>30</v>
      </c>
      <c r="B46" s="63"/>
      <c r="C46" s="158">
        <f>+SUM(C37:C42)</f>
        <v>0</v>
      </c>
    </row>
    <row r="47" spans="1:3" ht="15.95" customHeight="1">
      <c r="A47" s="64" t="s">
        <v>105</v>
      </c>
      <c r="B47" s="63"/>
      <c r="C47" s="158">
        <f>+C34-C46</f>
        <v>0</v>
      </c>
    </row>
    <row r="48" spans="1:3" ht="15.95" customHeight="1" thickBot="1">
      <c r="A48" s="54" t="s">
        <v>15</v>
      </c>
      <c r="B48" s="60"/>
      <c r="C48" s="159">
        <f>SUM(C37:C45)</f>
        <v>0</v>
      </c>
    </row>
    <row r="49" spans="1:3">
      <c r="A49" s="1082" t="str">
        <f>+'DAP1'!A46:L46</f>
        <v>Formulář zpracovala ASPEKT HM, daňová, účetní a auditorská kancelář, www.danovapriznani.cz, business.center.cz</v>
      </c>
      <c r="B49" s="890"/>
      <c r="C49" s="890"/>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honeticPr fontId="11"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1"/>
  <sheetViews>
    <sheetView workbookViewId="0">
      <selection activeCell="F11" sqref="F11:H11"/>
    </sheetView>
  </sheetViews>
  <sheetFormatPr defaultColWidth="9.140625" defaultRowHeight="12.75"/>
  <cols>
    <col min="1" max="1" width="3.5703125" customWidth="1"/>
    <col min="2" max="2" width="15.7109375" customWidth="1"/>
    <col min="3" max="4" width="8.7109375" customWidth="1"/>
    <col min="5" max="5" width="10.7109375" customWidth="1"/>
    <col min="6" max="6" width="7.7109375" customWidth="1"/>
    <col min="7" max="7" width="8.7109375" customWidth="1"/>
    <col min="8" max="8" width="9.5703125" customWidth="1"/>
    <col min="9" max="11" width="8.7109375" customWidth="1"/>
    <col min="12" max="22" width="9.140625" style="2"/>
    <col min="23" max="23" width="11.42578125" style="2" bestFit="1" customWidth="1"/>
    <col min="24" max="50" width="9.140625" style="2"/>
  </cols>
  <sheetData>
    <row r="1" spans="1:50" ht="18" customHeight="1" thickBot="1">
      <c r="A1" s="1170" t="s">
        <v>286</v>
      </c>
      <c r="B1" s="1171"/>
      <c r="C1" s="1171"/>
      <c r="D1" s="1171"/>
      <c r="E1" s="1171"/>
      <c r="F1" s="1171"/>
      <c r="G1" s="1172"/>
      <c r="H1" s="252" t="s">
        <v>37</v>
      </c>
      <c r="I1" s="1156" t="str">
        <f>'DAP1'!A9</f>
        <v/>
      </c>
      <c r="J1" s="1157"/>
      <c r="K1" s="793"/>
    </row>
    <row r="2" spans="1:50" ht="26.25" customHeight="1">
      <c r="A2" s="1169" t="s">
        <v>3943</v>
      </c>
      <c r="B2" s="1169"/>
      <c r="C2" s="1169"/>
      <c r="D2" s="1169"/>
      <c r="E2" s="1169"/>
      <c r="F2" s="1169"/>
      <c r="G2" s="655"/>
      <c r="H2" s="1175"/>
      <c r="I2" s="1175"/>
      <c r="J2" s="1175"/>
      <c r="K2" s="1175"/>
    </row>
    <row r="3" spans="1:50" ht="36" customHeight="1">
      <c r="A3" s="1160" t="s">
        <v>162</v>
      </c>
      <c r="B3" s="1161"/>
      <c r="C3" s="1161"/>
      <c r="D3" s="1161"/>
      <c r="E3" s="1161"/>
      <c r="F3" s="1161"/>
      <c r="G3" s="1161"/>
      <c r="H3" s="1161"/>
      <c r="I3" s="1161"/>
      <c r="J3" s="1161"/>
      <c r="K3" s="1161"/>
    </row>
    <row r="4" spans="1:50" ht="15.95" customHeight="1">
      <c r="A4" s="1173" t="s">
        <v>3477</v>
      </c>
      <c r="B4" s="655"/>
      <c r="C4" s="655"/>
      <c r="D4" s="655"/>
      <c r="E4" s="655"/>
      <c r="F4" s="655"/>
      <c r="G4" s="655"/>
      <c r="H4" s="655"/>
      <c r="I4" s="655"/>
      <c r="J4" s="655"/>
      <c r="K4" s="655"/>
    </row>
    <row r="5" spans="1:50" ht="15.95" customHeight="1">
      <c r="A5" s="1072" t="s">
        <v>3478</v>
      </c>
      <c r="B5" s="1174"/>
      <c r="C5" s="1174"/>
      <c r="D5" s="1174"/>
      <c r="E5" s="1174"/>
      <c r="F5" s="1174"/>
      <c r="G5" s="1174"/>
      <c r="H5" s="1174"/>
      <c r="I5" s="1174"/>
      <c r="J5" s="1174"/>
      <c r="K5" s="1174"/>
    </row>
    <row r="6" spans="1:50" ht="9.9499999999999993" customHeight="1">
      <c r="A6" s="1178" t="s">
        <v>251</v>
      </c>
      <c r="B6" s="1179"/>
      <c r="C6" s="1179"/>
      <c r="D6" s="1179"/>
      <c r="E6" s="1179"/>
      <c r="F6" s="1179"/>
      <c r="G6" s="1179"/>
      <c r="H6" s="1179"/>
      <c r="I6" s="1179"/>
      <c r="J6" s="1179"/>
      <c r="K6" s="1179"/>
    </row>
    <row r="7" spans="1:50" ht="8.1" customHeight="1" thickBot="1">
      <c r="A7" s="1178"/>
      <c r="B7" s="1179"/>
      <c r="C7" s="1179"/>
      <c r="D7" s="1179"/>
      <c r="E7" s="1179"/>
      <c r="F7" s="1179"/>
      <c r="G7" s="1179"/>
      <c r="H7" s="1179"/>
      <c r="I7" s="1179"/>
      <c r="J7" s="1179"/>
      <c r="K7" s="1179"/>
    </row>
    <row r="8" spans="1:50" s="107" customFormat="1" ht="24" customHeight="1" thickBot="1">
      <c r="A8" s="1158" t="s">
        <v>198</v>
      </c>
      <c r="B8" s="1159"/>
      <c r="C8" s="92" t="s">
        <v>246</v>
      </c>
      <c r="D8" s="105"/>
      <c r="E8" s="1158" t="s">
        <v>231</v>
      </c>
      <c r="F8" s="1162"/>
      <c r="G8" s="92"/>
      <c r="H8" s="105"/>
      <c r="I8" s="1158" t="s">
        <v>291</v>
      </c>
      <c r="J8" s="790"/>
      <c r="K8" s="92"/>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row>
    <row r="9" spans="1:50" s="107" customFormat="1" ht="7.5" customHeight="1" thickBot="1">
      <c r="A9" s="761"/>
      <c r="B9" s="761"/>
      <c r="C9" s="761"/>
      <c r="D9" s="761"/>
      <c r="E9" s="761"/>
      <c r="F9" s="761"/>
      <c r="G9" s="761"/>
      <c r="H9" s="761"/>
      <c r="I9" s="761"/>
      <c r="J9" s="761"/>
      <c r="K9" s="761"/>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row>
    <row r="10" spans="1:50" ht="12" customHeight="1">
      <c r="A10" s="1163"/>
      <c r="B10" s="1164"/>
      <c r="C10" s="1164"/>
      <c r="D10" s="1164"/>
      <c r="E10" s="1165"/>
      <c r="F10" s="1166" t="s">
        <v>142</v>
      </c>
      <c r="G10" s="1167"/>
      <c r="H10" s="1168"/>
      <c r="I10" s="1176" t="s">
        <v>150</v>
      </c>
      <c r="J10" s="1177"/>
      <c r="K10" s="847"/>
    </row>
    <row r="11" spans="1:50" ht="18" customHeight="1">
      <c r="A11" s="17">
        <v>101</v>
      </c>
      <c r="B11" s="868" t="s">
        <v>252</v>
      </c>
      <c r="C11" s="868"/>
      <c r="D11" s="868"/>
      <c r="E11" s="951"/>
      <c r="F11" s="826">
        <f>+IF(OR(EXACT(C8,"X"),EXACT(C8,"x")),CEILING(ZAV!C34,1)-ZAV!C32,+IF(OR(EXACT(K8,"X"),EXACT(K8,"x")),+F35,0))</f>
        <v>0</v>
      </c>
      <c r="G11" s="1143"/>
      <c r="H11" s="1144"/>
      <c r="I11" s="1094"/>
      <c r="J11" s="1095"/>
      <c r="K11" s="1096"/>
    </row>
    <row r="12" spans="1:50" ht="18" customHeight="1">
      <c r="A12" s="17">
        <v>102</v>
      </c>
      <c r="B12" s="868" t="s">
        <v>253</v>
      </c>
      <c r="C12" s="868"/>
      <c r="D12" s="868"/>
      <c r="E12" s="951"/>
      <c r="F12" s="826">
        <f>+IF(OR(EXACT(C8,"X"),EXACT(C8,"x")),CEILING(ZAV!C46,1),+IF(OR(EXACT(K8,"X"),EXACT(K8,"x")),+H35,0))</f>
        <v>0</v>
      </c>
      <c r="G12" s="1143"/>
      <c r="H12" s="1144"/>
      <c r="I12" s="1094"/>
      <c r="J12" s="1095"/>
      <c r="K12" s="1096"/>
    </row>
    <row r="13" spans="1:50" ht="18" customHeight="1">
      <c r="A13" s="17">
        <v>103</v>
      </c>
      <c r="B13" s="868" t="s">
        <v>164</v>
      </c>
      <c r="C13" s="868"/>
      <c r="D13" s="868"/>
      <c r="E13" s="951"/>
      <c r="F13" s="1097"/>
      <c r="G13" s="1098"/>
      <c r="H13" s="1099"/>
      <c r="I13" s="1094"/>
      <c r="J13" s="1095"/>
      <c r="K13" s="1096"/>
    </row>
    <row r="14" spans="1:50" ht="24" customHeight="1">
      <c r="A14" s="76">
        <v>104</v>
      </c>
      <c r="B14" s="814" t="s">
        <v>3479</v>
      </c>
      <c r="C14" s="815"/>
      <c r="D14" s="815"/>
      <c r="E14" s="816"/>
      <c r="F14" s="826">
        <f>+F11-F12-F13</f>
        <v>0</v>
      </c>
      <c r="G14" s="1143"/>
      <c r="H14" s="1144"/>
      <c r="I14" s="1094"/>
      <c r="J14" s="1095"/>
      <c r="K14" s="1096"/>
    </row>
    <row r="15" spans="1:50" ht="45" customHeight="1">
      <c r="A15" s="14">
        <v>105</v>
      </c>
      <c r="B15" s="814" t="s">
        <v>39</v>
      </c>
      <c r="C15" s="814"/>
      <c r="D15" s="814"/>
      <c r="E15" s="952"/>
      <c r="F15" s="823">
        <f>+SUM('1Př2'!F20:G23)</f>
        <v>0</v>
      </c>
      <c r="G15" s="1154"/>
      <c r="H15" s="1155"/>
      <c r="I15" s="1094"/>
      <c r="J15" s="1095"/>
      <c r="K15" s="1096"/>
    </row>
    <row r="16" spans="1:50" ht="45" customHeight="1">
      <c r="A16" s="78">
        <v>106</v>
      </c>
      <c r="B16" s="814" t="s">
        <v>38</v>
      </c>
      <c r="C16" s="814"/>
      <c r="D16" s="814"/>
      <c r="E16" s="952"/>
      <c r="F16" s="823">
        <f>+SUM('1Př2'!F26:G29)</f>
        <v>0</v>
      </c>
      <c r="G16" s="1154"/>
      <c r="H16" s="1155"/>
      <c r="I16" s="1094"/>
      <c r="J16" s="1095"/>
      <c r="K16" s="1096"/>
    </row>
    <row r="17" spans="1:50" ht="48" customHeight="1">
      <c r="A17" s="14">
        <v>107</v>
      </c>
      <c r="B17" s="814" t="s">
        <v>3483</v>
      </c>
      <c r="C17" s="815"/>
      <c r="D17" s="815"/>
      <c r="E17" s="816"/>
      <c r="F17" s="826">
        <f>FLOOR(+F11*('1Př2'!G39+'1Př2'!G40),1)</f>
        <v>0</v>
      </c>
      <c r="G17" s="1143"/>
      <c r="H17" s="1144"/>
      <c r="I17" s="1094"/>
      <c r="J17" s="1095"/>
      <c r="K17" s="1096"/>
    </row>
    <row r="18" spans="1:50" s="1" customFormat="1" ht="48" customHeight="1">
      <c r="A18" s="14">
        <v>108</v>
      </c>
      <c r="B18" s="901" t="s">
        <v>3482</v>
      </c>
      <c r="C18" s="1141"/>
      <c r="D18" s="1141"/>
      <c r="E18" s="1142"/>
      <c r="F18" s="826">
        <f>FLOOR(+F12*('1Př2'!G39+'1Př2'!G40),1)</f>
        <v>0</v>
      </c>
      <c r="G18" s="1143"/>
      <c r="H18" s="1144"/>
      <c r="I18" s="1094"/>
      <c r="J18" s="1095"/>
      <c r="K18" s="109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v>
      </c>
      <c r="B19" s="901" t="s">
        <v>3480</v>
      </c>
      <c r="C19" s="1141"/>
      <c r="D19" s="1141"/>
      <c r="E19" s="1142"/>
      <c r="F19" s="826">
        <v>0</v>
      </c>
      <c r="G19" s="1143"/>
      <c r="H19" s="1144"/>
      <c r="I19" s="1094"/>
      <c r="J19" s="1095"/>
      <c r="K19" s="1096"/>
      <c r="L19" s="6"/>
      <c r="M19" s="142"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v>
      </c>
      <c r="B20" s="901" t="s">
        <v>3481</v>
      </c>
      <c r="C20" s="1141"/>
      <c r="D20" s="1141"/>
      <c r="E20" s="1142"/>
      <c r="F20" s="826">
        <v>0</v>
      </c>
      <c r="G20" s="1143"/>
      <c r="H20" s="1144"/>
      <c r="I20" s="1094"/>
      <c r="J20" s="1095"/>
      <c r="K20" s="109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v>
      </c>
      <c r="B21" s="868" t="s">
        <v>164</v>
      </c>
      <c r="C21" s="868"/>
      <c r="D21" s="868"/>
      <c r="E21" s="951"/>
      <c r="F21" s="1097"/>
      <c r="G21" s="1098"/>
      <c r="H21" s="1099"/>
      <c r="I21" s="1094"/>
      <c r="J21" s="1095"/>
      <c r="K21" s="109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v>
      </c>
      <c r="B22" s="901" t="s">
        <v>163</v>
      </c>
      <c r="C22" s="1141"/>
      <c r="D22" s="1141"/>
      <c r="E22" s="1142"/>
      <c r="F22" s="826">
        <v>0</v>
      </c>
      <c r="G22" s="1143"/>
      <c r="H22" s="1144"/>
      <c r="I22" s="1094"/>
      <c r="J22" s="1095"/>
      <c r="K22" s="109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v>
      </c>
      <c r="B23" s="903" t="s">
        <v>3786</v>
      </c>
      <c r="C23" s="1090"/>
      <c r="D23" s="1090"/>
      <c r="E23" s="1091"/>
      <c r="F23" s="855">
        <f>+F14+F15-F16-F17+F18+F19-F20-F21+F22</f>
        <v>0</v>
      </c>
      <c r="G23" s="1092"/>
      <c r="H23" s="1093"/>
      <c r="I23" s="1147"/>
      <c r="J23" s="1148"/>
      <c r="K23" s="1149"/>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151" t="s">
        <v>254</v>
      </c>
      <c r="B24" s="1152"/>
      <c r="C24" s="1152"/>
      <c r="D24" s="1152"/>
      <c r="E24" s="1152"/>
      <c r="F24" s="1152"/>
      <c r="G24" s="1152"/>
      <c r="H24" s="1152"/>
      <c r="I24" s="1152"/>
      <c r="J24" s="1152"/>
      <c r="K24" s="1152"/>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1129" t="s">
        <v>292</v>
      </c>
      <c r="B25" s="1153"/>
      <c r="C25" s="1153"/>
      <c r="D25" s="1153"/>
      <c r="E25" s="1153"/>
      <c r="F25" s="1153"/>
      <c r="G25" s="1153"/>
      <c r="H25" s="1153"/>
      <c r="I25" s="1153"/>
      <c r="J25" s="1153"/>
      <c r="K25" s="1153"/>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1145" t="s">
        <v>233</v>
      </c>
      <c r="B26" s="1052"/>
      <c r="C26" s="1052"/>
      <c r="D26" s="1052"/>
      <c r="E26" s="1145" t="s">
        <v>146</v>
      </c>
      <c r="F26" s="1146"/>
      <c r="G26" s="1052"/>
      <c r="H26" s="1052"/>
      <c r="I26" s="1130" t="s">
        <v>74</v>
      </c>
      <c r="J26" s="1130"/>
      <c r="K26" s="1131"/>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1136">
        <v>0</v>
      </c>
      <c r="B27" s="1150"/>
      <c r="C27" s="1138"/>
      <c r="D27" s="141"/>
      <c r="E27" s="1136">
        <f>+CEILING(ZAV!C43,1)</f>
        <v>0</v>
      </c>
      <c r="F27" s="1137"/>
      <c r="G27" s="1138"/>
      <c r="H27" s="141"/>
      <c r="I27" s="1136">
        <v>0</v>
      </c>
      <c r="J27" s="1139"/>
      <c r="K27" s="1140"/>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1129" t="s">
        <v>267</v>
      </c>
      <c r="B28" s="1135"/>
      <c r="C28" s="1135"/>
      <c r="D28" s="1135"/>
      <c r="E28" s="1127" t="s">
        <v>268</v>
      </c>
      <c r="F28" s="1129"/>
      <c r="G28" s="681"/>
      <c r="H28" s="681"/>
      <c r="I28" s="681"/>
      <c r="J28" s="681"/>
      <c r="K28" s="681"/>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1130" t="s">
        <v>3484</v>
      </c>
      <c r="B29" s="1131"/>
      <c r="C29" s="1131"/>
      <c r="D29" s="1131"/>
      <c r="E29" s="1128"/>
      <c r="F29" s="1121" t="s">
        <v>139</v>
      </c>
      <c r="G29" s="1121"/>
      <c r="H29" s="1121" t="s">
        <v>140</v>
      </c>
      <c r="I29" s="1121"/>
      <c r="J29" s="1121" t="s">
        <v>166</v>
      </c>
      <c r="K29" s="1121"/>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132" t="str">
        <f>CONCATENATE(+ZAKL_DATA!B29)</f>
        <v/>
      </c>
      <c r="B30" s="1133"/>
      <c r="C30" s="1133"/>
      <c r="D30" s="1134"/>
      <c r="E30" s="383">
        <v>0</v>
      </c>
      <c r="F30" s="1119">
        <f>+IF(OR(EXACT(K8,"X"),EXACT(K8,"x")),F11,IF(OR(EXACT(C8,"X"),EXACT(C8,"x")),CEILING(ZAV!C34,1)-ZAV!C32,0))</f>
        <v>0</v>
      </c>
      <c r="G30" s="1120"/>
      <c r="H30" s="1119">
        <f>+IF(OR(EXACT(C8,"X"),EXACT(C8,"x")),CEILING(ZAV!C46,1),IF(OR(EXACT(K8,"X"),EXACT(K8,"x")),MIN(2000000*E30,CEILING(+E30*F30,1)),0))</f>
        <v>0</v>
      </c>
      <c r="I30" s="1120"/>
      <c r="J30" s="1117"/>
      <c r="K30" s="1118"/>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680" t="s">
        <v>269</v>
      </c>
      <c r="B31" s="1122"/>
      <c r="C31" s="1122"/>
      <c r="D31" s="1122"/>
      <c r="E31" s="1122"/>
      <c r="F31" s="1122"/>
      <c r="G31" s="1122"/>
      <c r="H31" s="1122"/>
      <c r="I31" s="1122"/>
      <c r="J31" s="1122"/>
      <c r="K31" s="1122"/>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125"/>
      <c r="B32" s="1126"/>
      <c r="C32" s="1126"/>
      <c r="D32" s="1126"/>
      <c r="E32" s="382">
        <v>0</v>
      </c>
      <c r="F32" s="1115">
        <v>0</v>
      </c>
      <c r="G32" s="1116"/>
      <c r="H32" s="1115">
        <f>+IF(OR(EXACT(K8,"X"),EXACT(K8,"x")),MIN(2000000*E32,CEILING(+E32*F32,1)),0)</f>
        <v>0</v>
      </c>
      <c r="I32" s="1116"/>
      <c r="J32" s="1123"/>
      <c r="K32" s="1124"/>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103"/>
      <c r="B33" s="1104"/>
      <c r="C33" s="1104"/>
      <c r="D33" s="1104"/>
      <c r="E33" s="380">
        <v>0</v>
      </c>
      <c r="F33" s="1113">
        <v>0</v>
      </c>
      <c r="G33" s="1114"/>
      <c r="H33" s="1113">
        <f>+IF(OR(EXACT(K8,"X"),EXACT(K8,"x")),MIN(2000000*E33,CEILING(+E33*F33,1)),0)</f>
        <v>0</v>
      </c>
      <c r="I33" s="1114"/>
      <c r="J33" s="1107"/>
      <c r="K33" s="1108"/>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103"/>
      <c r="B34" s="1104"/>
      <c r="C34" s="1104"/>
      <c r="D34" s="1104"/>
      <c r="E34" s="380">
        <v>0</v>
      </c>
      <c r="F34" s="1113">
        <v>0</v>
      </c>
      <c r="G34" s="1114"/>
      <c r="H34" s="1113">
        <f>+IF(OR(EXACT(K8,"X"),EXACT(K8,"x")),MIN(2000000*E34,CEILING(+E34*F34,1)),0)</f>
        <v>0</v>
      </c>
      <c r="I34" s="1114"/>
      <c r="J34" s="1107"/>
      <c r="K34" s="1108"/>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105" t="s">
        <v>57</v>
      </c>
      <c r="B35" s="1106"/>
      <c r="C35" s="1106"/>
      <c r="D35" s="1106"/>
      <c r="E35" s="381"/>
      <c r="F35" s="1111">
        <f>SUM(F32:F34)+F30</f>
        <v>0</v>
      </c>
      <c r="G35" s="1112"/>
      <c r="H35" s="1111">
        <f>SUM(H32:H34)+H30</f>
        <v>0</v>
      </c>
      <c r="I35" s="1112"/>
      <c r="J35" s="1109"/>
      <c r="K35" s="1110"/>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101" t="str">
        <f>+'DAP1'!A46</f>
        <v>Formulář zpracovala ASPEKT HM, daňová, účetní a auditorská kancelář, www.danovapriznani.cz, business.center.cz</v>
      </c>
      <c r="B36" s="1101"/>
      <c r="C36" s="1101"/>
      <c r="D36" s="1101"/>
      <c r="E36" s="1101"/>
      <c r="F36" s="1101"/>
      <c r="G36" s="1101"/>
      <c r="H36" s="1101"/>
      <c r="I36" s="1101"/>
      <c r="J36" s="1101"/>
      <c r="K36" s="1101"/>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102" t="s">
        <v>3944</v>
      </c>
      <c r="B37" s="1102"/>
      <c r="C37" s="1102"/>
      <c r="D37" s="1102"/>
      <c r="E37" s="1102"/>
      <c r="F37" s="1102"/>
      <c r="G37" s="1102"/>
      <c r="H37" s="1102"/>
      <c r="I37" s="1102"/>
      <c r="J37" s="1102"/>
      <c r="K37" s="1102"/>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3.5" customHeight="1">
      <c r="A38" s="1100" t="s">
        <v>287</v>
      </c>
      <c r="B38" s="1100"/>
      <c r="C38" s="1100"/>
      <c r="D38" s="1100"/>
      <c r="E38" s="1100"/>
      <c r="F38" s="1100"/>
      <c r="G38" s="1100"/>
      <c r="H38" s="1100"/>
      <c r="I38" s="1100"/>
      <c r="J38" s="1100"/>
      <c r="K38" s="1100"/>
    </row>
    <row r="39" spans="1:50" s="2" customFormat="1"/>
    <row r="40" spans="1:50" s="2" customFormat="1"/>
    <row r="41" spans="1:50" s="2" customFormat="1"/>
    <row r="42" spans="1:50" s="2" customFormat="1"/>
    <row r="43" spans="1:50" s="2" customFormat="1"/>
    <row r="44" spans="1:50" s="2" customFormat="1"/>
    <row r="45" spans="1:50" s="2" customFormat="1"/>
    <row r="46" spans="1:50" s="2" customFormat="1"/>
    <row r="47" spans="1:50" s="2" customFormat="1"/>
    <row r="48" spans="1:5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sheetData>
  <sheetProtection algorithmName="SHA-512" hashValue="fg3G1kJPbIJwduCa8CCeOfQzyKFYLBk06+fe6tmZJ+YigKCry/r7hU6QnSSTIuvfJ9/vo+EZ7ZRQ0MuuHpCNXQ==" saltValue="Rb9Oh7sM/sI3IoS+rGWyBg==" spinCount="100000" sheet="1" objects="1" scenarios="1"/>
  <mergeCells count="94">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B23:E23"/>
    <mergeCell ref="F23:H23"/>
    <mergeCell ref="I17:K17"/>
    <mergeCell ref="I20:K20"/>
    <mergeCell ref="F21:H21"/>
  </mergeCells>
  <phoneticPr fontId="11" type="noConversion"/>
  <dataValidations count="1">
    <dataValidation type="list" allowBlank="1" showInputMessage="1" sqref="A32:A34" xr:uid="{00000000-0002-0000-0A00-000000000000}">
      <formula1>vl_cinnosti2</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201"/>
  <sheetViews>
    <sheetView workbookViewId="0">
      <selection activeCell="M28" sqref="M28"/>
    </sheetView>
  </sheetViews>
  <sheetFormatPr defaultRowHeight="12.75"/>
  <cols>
    <col min="1" max="1" width="3.28515625" customWidth="1"/>
    <col min="2" max="2" width="17.7109375" customWidth="1"/>
    <col min="3" max="3" width="8.85546875" customWidth="1"/>
    <col min="4" max="4" width="14.7109375" customWidth="1"/>
    <col min="5" max="7" width="17.7109375" customWidth="1"/>
    <col min="8" max="52" width="9.140625" style="75"/>
  </cols>
  <sheetData>
    <row r="1" spans="1:52" ht="18" customHeight="1">
      <c r="A1" s="1129" t="s">
        <v>3485</v>
      </c>
      <c r="B1" s="1195"/>
      <c r="C1" s="1195"/>
      <c r="D1" s="1195"/>
      <c r="E1" s="1195"/>
      <c r="F1" s="1195"/>
      <c r="G1" s="1195"/>
    </row>
    <row r="2" spans="1:52" ht="15.95" customHeight="1" thickBot="1">
      <c r="A2" s="1196" t="s">
        <v>40</v>
      </c>
      <c r="B2" s="711"/>
      <c r="C2" s="136" t="s">
        <v>283</v>
      </c>
      <c r="D2" s="136"/>
      <c r="E2" s="136" t="s">
        <v>284</v>
      </c>
      <c r="F2" s="135" t="s">
        <v>285</v>
      </c>
      <c r="G2" s="135" t="s">
        <v>59</v>
      </c>
      <c r="AY2"/>
      <c r="AZ2"/>
    </row>
    <row r="3" spans="1:52" ht="15.95" customHeight="1" thickBot="1">
      <c r="A3" s="1186"/>
      <c r="B3" s="1187"/>
      <c r="C3" s="1184"/>
      <c r="D3" s="1185"/>
      <c r="E3" s="134"/>
      <c r="F3" s="139"/>
      <c r="G3" s="140">
        <v>12</v>
      </c>
      <c r="AY3"/>
      <c r="AZ3"/>
    </row>
    <row r="4" spans="1:52" ht="18" customHeight="1">
      <c r="A4" s="1199" t="s">
        <v>3586</v>
      </c>
      <c r="B4" s="1200"/>
      <c r="C4" s="1200"/>
      <c r="D4" s="1200"/>
      <c r="E4" s="1200"/>
      <c r="F4" s="1200"/>
      <c r="G4" s="1200"/>
    </row>
    <row r="5" spans="1:52" ht="15.95" customHeight="1" thickBot="1">
      <c r="A5" s="1207" t="s">
        <v>3587</v>
      </c>
      <c r="B5" s="1208"/>
      <c r="C5" s="1208"/>
      <c r="D5" s="1208"/>
      <c r="E5" s="1208"/>
      <c r="F5" s="1208"/>
      <c r="G5" s="1208"/>
    </row>
    <row r="6" spans="1:52" ht="22.5">
      <c r="A6" s="1205"/>
      <c r="B6" s="853"/>
      <c r="C6" s="853"/>
      <c r="D6" s="853"/>
      <c r="E6" s="1206"/>
      <c r="F6" s="80" t="s">
        <v>294</v>
      </c>
      <c r="G6" s="81" t="s">
        <v>293</v>
      </c>
    </row>
    <row r="7" spans="1:52" ht="15.95" customHeight="1">
      <c r="A7" s="42" t="s">
        <v>129</v>
      </c>
      <c r="B7" s="1180" t="s">
        <v>100</v>
      </c>
      <c r="C7" s="1180"/>
      <c r="D7" s="1180"/>
      <c r="E7" s="877"/>
      <c r="F7" s="65">
        <f>+ZAV!B7</f>
        <v>0</v>
      </c>
      <c r="G7" s="79">
        <f>+ZAV!C7</f>
        <v>0</v>
      </c>
    </row>
    <row r="8" spans="1:52" ht="15.95" customHeight="1">
      <c r="A8" s="42" t="s">
        <v>130</v>
      </c>
      <c r="B8" s="1180" t="s">
        <v>272</v>
      </c>
      <c r="C8" s="1180"/>
      <c r="D8" s="1180"/>
      <c r="E8" s="877"/>
      <c r="F8" s="65">
        <f>+ZAV!B9</f>
        <v>0</v>
      </c>
      <c r="G8" s="79">
        <f>+ZAV!C9</f>
        <v>0</v>
      </c>
    </row>
    <row r="9" spans="1:52" ht="15.95" customHeight="1">
      <c r="A9" s="42" t="s">
        <v>131</v>
      </c>
      <c r="B9" s="1180" t="s">
        <v>238</v>
      </c>
      <c r="C9" s="1180"/>
      <c r="D9" s="1180"/>
      <c r="E9" s="877"/>
      <c r="F9" s="65">
        <f>+ZAV!B10</f>
        <v>0</v>
      </c>
      <c r="G9" s="79">
        <f>+ZAV!C10</f>
        <v>0</v>
      </c>
    </row>
    <row r="10" spans="1:52" ht="15.95" customHeight="1">
      <c r="A10" s="42" t="s">
        <v>304</v>
      </c>
      <c r="B10" s="1180" t="s">
        <v>136</v>
      </c>
      <c r="C10" s="1180"/>
      <c r="D10" s="1180"/>
      <c r="E10" s="877"/>
      <c r="F10" s="65">
        <f>+ZAV!B12</f>
        <v>0</v>
      </c>
      <c r="G10" s="79">
        <f>+ZAV!C12</f>
        <v>0</v>
      </c>
    </row>
    <row r="11" spans="1:52" ht="15.95" customHeight="1">
      <c r="A11" s="42" t="s">
        <v>96</v>
      </c>
      <c r="B11" s="1180" t="s">
        <v>3486</v>
      </c>
      <c r="C11" s="1180"/>
      <c r="D11" s="1180"/>
      <c r="E11" s="877"/>
      <c r="F11" s="65">
        <f>+ZAV!B13+ZAV!B14</f>
        <v>0</v>
      </c>
      <c r="G11" s="79">
        <f>+ZAV!C13+ZAV!C14</f>
        <v>0</v>
      </c>
    </row>
    <row r="12" spans="1:52" ht="15.95" customHeight="1">
      <c r="A12" s="42" t="s">
        <v>303</v>
      </c>
      <c r="B12" s="1180" t="s">
        <v>239</v>
      </c>
      <c r="C12" s="1180"/>
      <c r="D12" s="1180"/>
      <c r="E12" s="877"/>
      <c r="F12" s="65">
        <f>+ZAV!B15+ZAV!B11+ZAV!B8</f>
        <v>0</v>
      </c>
      <c r="G12" s="79">
        <f>+ZAV!C15+ZAV!C11+ZAV!C8</f>
        <v>0</v>
      </c>
    </row>
    <row r="13" spans="1:52" ht="15.95" customHeight="1">
      <c r="A13" s="42" t="s">
        <v>302</v>
      </c>
      <c r="B13" s="1180" t="s">
        <v>3487</v>
      </c>
      <c r="C13" s="1180"/>
      <c r="D13" s="1180"/>
      <c r="E13" s="877"/>
      <c r="F13" s="65">
        <f>+ZAV!B19+ZAV!B20</f>
        <v>0</v>
      </c>
      <c r="G13" s="79">
        <f>+ZAV!C19+ZAV!C20</f>
        <v>0</v>
      </c>
    </row>
    <row r="14" spans="1:52" ht="15.95" customHeight="1" thickBot="1">
      <c r="A14" s="43" t="s">
        <v>301</v>
      </c>
      <c r="B14" s="1204" t="s">
        <v>299</v>
      </c>
      <c r="C14" s="1204"/>
      <c r="D14" s="1204"/>
      <c r="E14" s="883"/>
      <c r="F14" s="66">
        <f>+ZAV!B22</f>
        <v>0</v>
      </c>
      <c r="G14" s="93">
        <f>+ZAV!C22</f>
        <v>0</v>
      </c>
    </row>
    <row r="15" spans="1:52" ht="9" customHeight="1" thickBot="1">
      <c r="A15" s="1199"/>
      <c r="B15" s="1200"/>
      <c r="C15" s="1200"/>
      <c r="D15" s="1200"/>
      <c r="E15" s="1200"/>
      <c r="F15" s="1200"/>
      <c r="G15" s="1200"/>
    </row>
    <row r="16" spans="1:52" ht="15.95" customHeight="1" thickBot="1">
      <c r="A16" s="82" t="s">
        <v>300</v>
      </c>
      <c r="B16" s="108" t="s">
        <v>27</v>
      </c>
      <c r="C16" s="1201"/>
      <c r="D16" s="1202"/>
      <c r="E16" s="1203"/>
      <c r="F16" s="1200"/>
      <c r="G16" s="1200"/>
    </row>
    <row r="17" spans="1:7" ht="15" customHeight="1">
      <c r="A17" s="1197" t="s">
        <v>240</v>
      </c>
      <c r="B17" s="1198"/>
      <c r="C17" s="1198"/>
      <c r="D17" s="1198"/>
      <c r="E17" s="1198"/>
      <c r="F17" s="1198"/>
      <c r="G17" s="1198"/>
    </row>
    <row r="18" spans="1:7" ht="18" customHeight="1" thickBot="1">
      <c r="A18" s="1188" t="s">
        <v>213</v>
      </c>
      <c r="B18" s="1189"/>
      <c r="C18" s="1189"/>
      <c r="D18" s="1189"/>
      <c r="E18" s="1189"/>
      <c r="F18" s="1189"/>
      <c r="G18" s="1189"/>
    </row>
    <row r="19" spans="1:7" ht="24" customHeight="1">
      <c r="A19" s="85" t="s">
        <v>3488</v>
      </c>
      <c r="B19" s="1190" t="s">
        <v>60</v>
      </c>
      <c r="C19" s="1191"/>
      <c r="D19" s="1191"/>
      <c r="E19" s="1192"/>
      <c r="F19" s="1193" t="s">
        <v>189</v>
      </c>
      <c r="G19" s="1194"/>
    </row>
    <row r="20" spans="1:7" ht="15.95" customHeight="1">
      <c r="A20" s="40" t="s">
        <v>129</v>
      </c>
      <c r="B20" s="1181"/>
      <c r="C20" s="1181"/>
      <c r="D20" s="1181"/>
      <c r="E20" s="1181"/>
      <c r="F20" s="1182"/>
      <c r="G20" s="1183"/>
    </row>
    <row r="21" spans="1:7" ht="15.95" customHeight="1">
      <c r="A21" s="40" t="s">
        <v>130</v>
      </c>
      <c r="B21" s="1181"/>
      <c r="C21" s="1181"/>
      <c r="D21" s="1181"/>
      <c r="E21" s="1181"/>
      <c r="F21" s="1182"/>
      <c r="G21" s="1183"/>
    </row>
    <row r="22" spans="1:7" ht="15.95" customHeight="1">
      <c r="A22" s="40" t="s">
        <v>131</v>
      </c>
      <c r="B22" s="1181"/>
      <c r="C22" s="1181"/>
      <c r="D22" s="1181"/>
      <c r="E22" s="1181"/>
      <c r="F22" s="1182"/>
      <c r="G22" s="1183"/>
    </row>
    <row r="23" spans="1:7" ht="15.95" customHeight="1" thickBot="1">
      <c r="A23" s="41" t="s">
        <v>304</v>
      </c>
      <c r="B23" s="1209"/>
      <c r="C23" s="1209"/>
      <c r="D23" s="1209"/>
      <c r="E23" s="1209"/>
      <c r="F23" s="1210"/>
      <c r="G23" s="1211"/>
    </row>
    <row r="24" spans="1:7" ht="13.5" thickBot="1">
      <c r="A24" s="1188"/>
      <c r="B24" s="1189"/>
      <c r="C24" s="1189"/>
      <c r="D24" s="1189"/>
      <c r="E24" s="1189"/>
      <c r="F24" s="1189"/>
      <c r="G24" s="1189"/>
    </row>
    <row r="25" spans="1:7" ht="24.75" customHeight="1">
      <c r="A25" s="85" t="s">
        <v>190</v>
      </c>
      <c r="B25" s="1190" t="s">
        <v>61</v>
      </c>
      <c r="C25" s="1191"/>
      <c r="D25" s="1191"/>
      <c r="E25" s="1192"/>
      <c r="F25" s="1193" t="s">
        <v>189</v>
      </c>
      <c r="G25" s="1194"/>
    </row>
    <row r="26" spans="1:7" ht="15.95" customHeight="1">
      <c r="A26" s="40" t="s">
        <v>129</v>
      </c>
      <c r="B26" s="1181"/>
      <c r="C26" s="1181"/>
      <c r="D26" s="1181"/>
      <c r="E26" s="1181"/>
      <c r="F26" s="1182"/>
      <c r="G26" s="1183"/>
    </row>
    <row r="27" spans="1:7" ht="15.95" customHeight="1">
      <c r="A27" s="40" t="s">
        <v>130</v>
      </c>
      <c r="B27" s="1181"/>
      <c r="C27" s="1181"/>
      <c r="D27" s="1181"/>
      <c r="E27" s="1181"/>
      <c r="F27" s="1182"/>
      <c r="G27" s="1183"/>
    </row>
    <row r="28" spans="1:7" ht="15.95" customHeight="1">
      <c r="A28" s="40" t="s">
        <v>131</v>
      </c>
      <c r="B28" s="1181"/>
      <c r="C28" s="1181"/>
      <c r="D28" s="1181"/>
      <c r="E28" s="1181"/>
      <c r="F28" s="1182"/>
      <c r="G28" s="1183"/>
    </row>
    <row r="29" spans="1:7" ht="15.95" customHeight="1" thickBot="1">
      <c r="A29" s="41" t="s">
        <v>304</v>
      </c>
      <c r="B29" s="1209"/>
      <c r="C29" s="1209"/>
      <c r="D29" s="1209"/>
      <c r="E29" s="1209"/>
      <c r="F29" s="1210"/>
      <c r="G29" s="1211"/>
    </row>
    <row r="30" spans="1:7" ht="18" customHeight="1" thickBot="1">
      <c r="A30" s="1188" t="s">
        <v>75</v>
      </c>
      <c r="B30" s="1189"/>
      <c r="C30" s="1189"/>
      <c r="D30" s="1189"/>
      <c r="E30" s="1189"/>
      <c r="F30" s="1189"/>
      <c r="G30" s="1189"/>
    </row>
    <row r="31" spans="1:7" ht="15.95" customHeight="1">
      <c r="A31" s="1217" t="s">
        <v>76</v>
      </c>
      <c r="B31" s="1218"/>
      <c r="C31" s="1218"/>
      <c r="D31" s="1218"/>
      <c r="E31" s="1218"/>
      <c r="F31" s="1218"/>
      <c r="G31" s="1219"/>
    </row>
    <row r="32" spans="1:7" ht="15.95" customHeight="1">
      <c r="A32" s="89"/>
      <c r="B32" s="25" t="s">
        <v>41</v>
      </c>
      <c r="C32" s="1213" t="s">
        <v>91</v>
      </c>
      <c r="D32" s="1213"/>
      <c r="E32" s="25" t="s">
        <v>143</v>
      </c>
      <c r="F32" s="25" t="s">
        <v>92</v>
      </c>
      <c r="G32" s="26" t="s">
        <v>93</v>
      </c>
    </row>
    <row r="33" spans="1:52" ht="15.95" customHeight="1">
      <c r="A33" s="27" t="s">
        <v>129</v>
      </c>
      <c r="B33" s="95"/>
      <c r="C33" s="1212"/>
      <c r="D33" s="1212"/>
      <c r="E33" s="29"/>
      <c r="F33" s="32"/>
      <c r="G33" s="31"/>
    </row>
    <row r="34" spans="1:52" ht="15.95" customHeight="1">
      <c r="A34" s="27" t="s">
        <v>130</v>
      </c>
      <c r="B34" s="30"/>
      <c r="C34" s="1212"/>
      <c r="D34" s="1212"/>
      <c r="E34" s="96"/>
      <c r="F34" s="97"/>
      <c r="G34" s="98"/>
    </row>
    <row r="35" spans="1:52" ht="15.95" customHeight="1" thickBot="1">
      <c r="A35" s="28" t="s">
        <v>131</v>
      </c>
      <c r="B35" s="99"/>
      <c r="C35" s="1216"/>
      <c r="D35" s="1216"/>
      <c r="E35" s="99"/>
      <c r="F35" s="33"/>
      <c r="G35" s="34"/>
    </row>
    <row r="36" spans="1:52" ht="18" customHeight="1" thickBot="1">
      <c r="A36" s="1220" t="s">
        <v>273</v>
      </c>
      <c r="B36" s="1221"/>
      <c r="C36" s="1221"/>
      <c r="D36" s="1221"/>
      <c r="E36" s="1221"/>
      <c r="F36" s="1221"/>
      <c r="G36" s="1221"/>
    </row>
    <row r="37" spans="1:52" ht="15.95" customHeight="1">
      <c r="A37" s="1222" t="s">
        <v>77</v>
      </c>
      <c r="B37" s="1223"/>
      <c r="C37" s="1223"/>
      <c r="D37" s="1223"/>
      <c r="E37" s="1223"/>
      <c r="F37" s="1223"/>
      <c r="G37" s="1224"/>
    </row>
    <row r="38" spans="1:52" ht="24" customHeight="1">
      <c r="A38" s="90"/>
      <c r="B38" s="1225" t="s">
        <v>41</v>
      </c>
      <c r="C38" s="1226"/>
      <c r="D38" s="1225" t="s">
        <v>91</v>
      </c>
      <c r="E38" s="1226"/>
      <c r="F38" s="35" t="s">
        <v>236</v>
      </c>
      <c r="G38" s="36" t="s">
        <v>305</v>
      </c>
    </row>
    <row r="39" spans="1:52" ht="15.95" customHeight="1">
      <c r="A39" s="27" t="s">
        <v>129</v>
      </c>
      <c r="B39" s="1237"/>
      <c r="C39" s="1238"/>
      <c r="D39" s="1237"/>
      <c r="E39" s="1238"/>
      <c r="F39" s="486"/>
      <c r="G39" s="31"/>
    </row>
    <row r="40" spans="1:52" ht="15.95" customHeight="1" thickBot="1">
      <c r="A40" s="28" t="s">
        <v>130</v>
      </c>
      <c r="B40" s="1214"/>
      <c r="C40" s="1215"/>
      <c r="D40" s="1214"/>
      <c r="E40" s="1215"/>
      <c r="F40" s="8"/>
      <c r="G40" s="34"/>
    </row>
    <row r="41" spans="1:52" s="83" customFormat="1" ht="18" customHeight="1" thickBot="1">
      <c r="A41" s="1220" t="s">
        <v>214</v>
      </c>
      <c r="B41" s="1221"/>
      <c r="C41" s="1221"/>
      <c r="D41" s="1221"/>
      <c r="E41" s="1221"/>
      <c r="F41" s="1221"/>
      <c r="G41" s="1221"/>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row>
    <row r="42" spans="1:52" ht="15.95" customHeight="1">
      <c r="A42" s="1222" t="s">
        <v>78</v>
      </c>
      <c r="B42" s="1223"/>
      <c r="C42" s="1223"/>
      <c r="D42" s="1223"/>
      <c r="E42" s="1223"/>
      <c r="F42" s="1223"/>
      <c r="G42" s="1224"/>
    </row>
    <row r="43" spans="1:52" ht="24" customHeight="1">
      <c r="A43" s="90"/>
      <c r="B43" s="935" t="s">
        <v>41</v>
      </c>
      <c r="C43" s="1236"/>
      <c r="D43" s="935" t="s">
        <v>91</v>
      </c>
      <c r="E43" s="1236"/>
      <c r="F43" s="487" t="s">
        <v>143</v>
      </c>
      <c r="G43" s="36" t="s">
        <v>305</v>
      </c>
    </row>
    <row r="44" spans="1:52" ht="15.95" customHeight="1" thickBot="1">
      <c r="A44" s="28" t="s">
        <v>129</v>
      </c>
      <c r="B44" s="1233"/>
      <c r="C44" s="1215"/>
      <c r="D44" s="1233"/>
      <c r="E44" s="1215"/>
      <c r="F44" s="488"/>
      <c r="G44" s="34"/>
    </row>
    <row r="45" spans="1:52" ht="13.5" thickBot="1">
      <c r="A45" s="1234" t="s">
        <v>313</v>
      </c>
      <c r="B45" s="1235"/>
      <c r="C45" s="1235"/>
      <c r="D45" s="1235"/>
      <c r="E45" s="1235"/>
      <c r="F45" s="1235"/>
      <c r="G45" s="1235"/>
    </row>
    <row r="46" spans="1:52">
      <c r="A46" s="1229" t="s">
        <v>215</v>
      </c>
      <c r="B46" s="1230"/>
      <c r="C46" s="1230"/>
      <c r="D46" s="1230"/>
      <c r="E46" s="1230"/>
      <c r="F46" s="37" t="s">
        <v>143</v>
      </c>
      <c r="G46" s="38" t="s">
        <v>144</v>
      </c>
    </row>
    <row r="47" spans="1:52" ht="13.5" thickBot="1">
      <c r="A47" s="1231"/>
      <c r="B47" s="1232"/>
      <c r="C47" s="1232"/>
      <c r="D47" s="1232"/>
      <c r="E47" s="1232"/>
      <c r="F47" s="94"/>
      <c r="G47" s="39"/>
    </row>
    <row r="48" spans="1:52" ht="9" customHeight="1">
      <c r="A48" s="1227" t="s">
        <v>3489</v>
      </c>
      <c r="B48" s="695"/>
      <c r="C48" s="695"/>
      <c r="D48" s="695"/>
      <c r="E48" s="695"/>
      <c r="F48" s="695"/>
      <c r="G48" s="695"/>
    </row>
    <row r="49" spans="1:7" ht="9" customHeight="1">
      <c r="A49" s="1228" t="s">
        <v>188</v>
      </c>
      <c r="B49" s="655"/>
      <c r="C49" s="655"/>
      <c r="D49" s="655"/>
      <c r="E49" s="655"/>
      <c r="F49" s="655"/>
      <c r="G49" s="655"/>
    </row>
    <row r="50" spans="1:7">
      <c r="A50" s="1100" t="s">
        <v>288</v>
      </c>
      <c r="B50" s="1100"/>
      <c r="C50" s="1100"/>
      <c r="D50" s="1100"/>
      <c r="E50" s="1100"/>
      <c r="F50" s="1100"/>
      <c r="G50" s="1100"/>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pans="1:7">
      <c r="A65" s="75"/>
      <c r="B65" s="75"/>
      <c r="C65" s="75"/>
      <c r="D65" s="75"/>
      <c r="E65" s="75"/>
      <c r="F65" s="75"/>
      <c r="G65" s="75"/>
    </row>
    <row r="66" spans="1:7">
      <c r="A66" s="75"/>
      <c r="B66" s="75"/>
      <c r="C66" s="75"/>
      <c r="D66" s="75"/>
      <c r="E66" s="75"/>
      <c r="F66" s="75"/>
      <c r="G66" s="75"/>
    </row>
    <row r="67" spans="1:7">
      <c r="A67" s="75"/>
      <c r="B67" s="75"/>
      <c r="C67" s="75"/>
      <c r="D67" s="75"/>
      <c r="E67" s="75"/>
      <c r="F67" s="75"/>
      <c r="G67" s="75"/>
    </row>
    <row r="68" spans="1:7">
      <c r="A68" s="75"/>
      <c r="B68" s="75"/>
      <c r="C68" s="75"/>
      <c r="D68" s="75"/>
      <c r="E68" s="75"/>
      <c r="F68" s="75"/>
      <c r="G68" s="75"/>
    </row>
    <row r="69" spans="1:7">
      <c r="A69" s="75"/>
      <c r="B69" s="75"/>
      <c r="C69" s="75"/>
      <c r="D69" s="75"/>
      <c r="E69" s="75"/>
      <c r="F69" s="75"/>
      <c r="G69" s="75"/>
    </row>
    <row r="70" spans="1:7">
      <c r="A70" s="75"/>
      <c r="B70" s="75"/>
      <c r="C70" s="75"/>
      <c r="D70" s="75"/>
      <c r="E70" s="75"/>
      <c r="F70" s="75"/>
      <c r="G70" s="75"/>
    </row>
    <row r="71" spans="1:7">
      <c r="A71" s="75"/>
      <c r="B71" s="75"/>
      <c r="C71" s="75"/>
      <c r="D71" s="75"/>
      <c r="E71" s="75"/>
      <c r="F71" s="75"/>
      <c r="G71" s="75"/>
    </row>
    <row r="72" spans="1:7">
      <c r="A72" s="75"/>
      <c r="B72" s="75"/>
      <c r="C72" s="75"/>
      <c r="D72" s="75"/>
      <c r="E72" s="75"/>
      <c r="F72" s="75"/>
      <c r="G72" s="75"/>
    </row>
    <row r="73" spans="1:7">
      <c r="A73" s="75"/>
      <c r="B73" s="75"/>
      <c r="C73" s="75"/>
      <c r="D73" s="75"/>
      <c r="E73" s="75"/>
      <c r="F73" s="75"/>
      <c r="G73" s="75"/>
    </row>
    <row r="74" spans="1:7">
      <c r="A74" s="75"/>
      <c r="B74" s="75"/>
      <c r="C74" s="75"/>
      <c r="D74" s="75"/>
      <c r="E74" s="75"/>
      <c r="F74" s="75"/>
      <c r="G74" s="75"/>
    </row>
    <row r="75" spans="1:7">
      <c r="A75" s="75"/>
      <c r="B75" s="75"/>
      <c r="C75" s="75"/>
      <c r="D75" s="75"/>
      <c r="E75" s="75"/>
      <c r="F75" s="75"/>
      <c r="G75" s="75"/>
    </row>
    <row r="76" spans="1:7">
      <c r="A76" s="75"/>
      <c r="B76" s="75"/>
      <c r="C76" s="75"/>
      <c r="D76" s="75"/>
      <c r="E76" s="75"/>
      <c r="F76" s="75"/>
      <c r="G76" s="75"/>
    </row>
    <row r="77" spans="1:7">
      <c r="A77" s="75"/>
      <c r="B77" s="75"/>
      <c r="C77" s="75"/>
      <c r="D77" s="75"/>
      <c r="E77" s="75"/>
      <c r="F77" s="75"/>
      <c r="G77" s="75"/>
    </row>
    <row r="78" spans="1:7">
      <c r="A78" s="75"/>
      <c r="B78" s="75"/>
      <c r="C78" s="75"/>
      <c r="D78" s="75"/>
      <c r="E78" s="75"/>
      <c r="F78" s="75"/>
      <c r="G78" s="75"/>
    </row>
    <row r="79" spans="1:7">
      <c r="A79" s="75"/>
      <c r="B79" s="75"/>
      <c r="C79" s="75"/>
      <c r="D79" s="75"/>
      <c r="E79" s="75"/>
      <c r="F79" s="75"/>
      <c r="G79" s="75"/>
    </row>
    <row r="80" spans="1:7">
      <c r="A80" s="75"/>
      <c r="B80" s="75"/>
      <c r="C80" s="75"/>
      <c r="D80" s="75"/>
      <c r="E80" s="75"/>
      <c r="F80" s="75"/>
      <c r="G80" s="75"/>
    </row>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row r="126" s="75" customFormat="1"/>
    <row r="127" s="75" customFormat="1"/>
    <row r="128" s="75" customFormat="1"/>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row r="155" s="75" customFormat="1"/>
    <row r="156" s="75" customFormat="1"/>
    <row r="157" s="75" customFormat="1"/>
    <row r="158" s="75" customFormat="1"/>
    <row r="159" s="75" customFormat="1"/>
    <row r="160" s="75" customFormat="1"/>
    <row r="161" s="75" customFormat="1"/>
    <row r="162" s="75" customFormat="1"/>
    <row r="163" s="75" customFormat="1"/>
    <row r="164" s="75" customFormat="1"/>
    <row r="165" s="75" customFormat="1"/>
    <row r="166" s="75" customFormat="1"/>
    <row r="167" s="75" customFormat="1"/>
    <row r="168" s="75" customFormat="1"/>
    <row r="169" s="75" customFormat="1"/>
    <row r="170" s="75" customFormat="1"/>
    <row r="171" s="75" customFormat="1"/>
    <row r="172" s="75" customFormat="1"/>
    <row r="173" s="75" customFormat="1"/>
    <row r="174" s="75" customFormat="1"/>
    <row r="175" s="75" customFormat="1"/>
    <row r="176" s="75" customFormat="1"/>
    <row r="177" s="75" customFormat="1"/>
    <row r="178" s="75" customFormat="1"/>
    <row r="179" s="75" customFormat="1"/>
    <row r="180" s="75" customFormat="1"/>
    <row r="181" s="75" customFormat="1"/>
    <row r="182" s="75" customFormat="1"/>
    <row r="183" s="75" customFormat="1"/>
    <row r="184" s="75" customFormat="1"/>
    <row r="185" s="75" customFormat="1"/>
    <row r="186" s="75" customFormat="1"/>
    <row r="187" s="75" customFormat="1"/>
    <row r="188" s="75" customFormat="1"/>
    <row r="189" s="75" customFormat="1"/>
    <row r="190" s="75" customFormat="1"/>
    <row r="191" s="75" customFormat="1"/>
    <row r="192" s="75" customFormat="1"/>
    <row r="193" s="75" customFormat="1"/>
    <row r="194" s="75" customFormat="1"/>
    <row r="195" s="75" customFormat="1"/>
    <row r="196" s="75" customFormat="1"/>
    <row r="197" s="75" customFormat="1"/>
    <row r="198" s="75" customFormat="1"/>
    <row r="199" s="75" customFormat="1"/>
    <row r="200" s="75" customFormat="1"/>
    <row r="201" s="75" customFormat="1"/>
  </sheetData>
  <sheetProtection algorithmName="SHA-512" hashValue="wytnlfP8eXSknrUYmE7aiEy0+kP/2wp2K9WXZlTonQKNcCNUX3QLQTyBbWSIQ8DUeVA1LIOKWGbsNz6Hg7YXdw==" saltValue="jM7QsvxHQ5x7OARXNzLG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223"/>
  <sheetViews>
    <sheetView workbookViewId="0">
      <selection activeCell="G10" sqref="G10:H10"/>
    </sheetView>
  </sheetViews>
  <sheetFormatPr defaultRowHeight="12.75"/>
  <cols>
    <col min="1" max="1" width="4" customWidth="1"/>
    <col min="2" max="2" width="14.7109375" customWidth="1"/>
    <col min="3" max="3" width="18.7109375" customWidth="1"/>
    <col min="4" max="5" width="8.28515625" customWidth="1"/>
    <col min="6" max="6" width="3.7109375" customWidth="1"/>
    <col min="7" max="7" width="12.7109375" customWidth="1"/>
    <col min="8" max="8" width="5.7109375" customWidth="1"/>
    <col min="9" max="9" width="14.7109375" customWidth="1"/>
    <col min="10" max="10" width="5.7109375" customWidth="1"/>
    <col min="11" max="59" width="9.140625" style="75"/>
  </cols>
  <sheetData>
    <row r="1" spans="1:59" ht="18" customHeight="1" thickBot="1">
      <c r="A1" s="1170" t="s">
        <v>191</v>
      </c>
      <c r="B1" s="1171"/>
      <c r="C1" s="1171"/>
      <c r="D1" s="1171"/>
      <c r="E1" s="1171"/>
      <c r="F1" s="1171"/>
      <c r="G1" s="1270" t="s">
        <v>37</v>
      </c>
      <c r="H1" s="698"/>
      <c r="I1" s="1156" t="str">
        <f>'DAP1'!A9</f>
        <v/>
      </c>
      <c r="J1" s="793"/>
    </row>
    <row r="2" spans="1:59" ht="24" customHeight="1">
      <c r="A2" s="1169" t="s">
        <v>3945</v>
      </c>
      <c r="B2" s="1169"/>
      <c r="C2" s="1169"/>
      <c r="D2" s="1169"/>
      <c r="E2" s="1169"/>
      <c r="F2" s="1169"/>
      <c r="G2" s="655"/>
      <c r="H2" s="1200"/>
      <c r="I2" s="1200"/>
      <c r="J2" s="1200"/>
    </row>
    <row r="3" spans="1:59" ht="36" customHeight="1">
      <c r="A3" s="1160" t="s">
        <v>162</v>
      </c>
      <c r="B3" s="1161"/>
      <c r="C3" s="1161"/>
      <c r="D3" s="1161"/>
      <c r="E3" s="1161"/>
      <c r="F3" s="1161"/>
      <c r="G3" s="1161"/>
      <c r="H3" s="1161"/>
      <c r="I3" s="1161"/>
      <c r="J3" s="1161"/>
    </row>
    <row r="4" spans="1:59" ht="30" customHeight="1">
      <c r="A4" s="1256" t="s">
        <v>3490</v>
      </c>
      <c r="B4" s="1257"/>
      <c r="C4" s="1257"/>
      <c r="D4" s="1257"/>
      <c r="E4" s="1257"/>
      <c r="F4" s="1257"/>
      <c r="G4" s="1257"/>
      <c r="H4" s="1257"/>
      <c r="I4" s="1257"/>
      <c r="J4" s="1257"/>
    </row>
    <row r="5" spans="1:59" ht="18" customHeight="1">
      <c r="A5" s="1072" t="s">
        <v>3491</v>
      </c>
      <c r="B5" s="1174"/>
      <c r="C5" s="1174"/>
      <c r="D5" s="1174"/>
      <c r="E5" s="1174"/>
      <c r="F5" s="1174"/>
      <c r="G5" s="1174"/>
      <c r="H5" s="1174"/>
      <c r="I5" s="1174"/>
      <c r="J5" s="1174"/>
    </row>
    <row r="6" spans="1:59" ht="18" customHeight="1" thickBot="1">
      <c r="A6" s="1239" t="s">
        <v>274</v>
      </c>
      <c r="B6" s="934"/>
      <c r="C6" s="934"/>
      <c r="D6" s="934"/>
      <c r="E6" s="934"/>
      <c r="F6" s="934"/>
      <c r="G6" s="934"/>
      <c r="H6" s="934"/>
      <c r="I6" s="934"/>
      <c r="J6" s="934"/>
    </row>
    <row r="7" spans="1:59" s="107" customFormat="1" ht="24" customHeight="1" thickBot="1">
      <c r="A7" s="1272" t="s">
        <v>3492</v>
      </c>
      <c r="B7" s="1273"/>
      <c r="C7" s="1273"/>
      <c r="D7" s="161"/>
      <c r="E7" s="162"/>
      <c r="F7" s="1265" t="s">
        <v>81</v>
      </c>
      <c r="G7" s="1266"/>
      <c r="H7" s="1266"/>
      <c r="I7" s="1266"/>
      <c r="J7" s="161"/>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row>
    <row r="8" spans="1:59" s="107" customFormat="1" ht="9.9499999999999993" customHeight="1" thickBot="1">
      <c r="A8" s="1239"/>
      <c r="B8" s="1240"/>
      <c r="C8" s="1240"/>
      <c r="D8" s="1240"/>
      <c r="E8" s="1240"/>
      <c r="F8" s="1240"/>
      <c r="G8" s="1240"/>
      <c r="H8" s="1240"/>
      <c r="I8" s="1240"/>
      <c r="J8" s="1240"/>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row>
    <row r="9" spans="1:59" ht="12" customHeight="1">
      <c r="A9" s="1205"/>
      <c r="B9" s="849"/>
      <c r="C9" s="849"/>
      <c r="D9" s="849"/>
      <c r="E9" s="849"/>
      <c r="F9" s="1267"/>
      <c r="G9" s="960" t="s">
        <v>142</v>
      </c>
      <c r="H9" s="1261"/>
      <c r="I9" s="960" t="s">
        <v>150</v>
      </c>
      <c r="J9" s="1262"/>
    </row>
    <row r="10" spans="1:59" ht="21" customHeight="1">
      <c r="A10" s="17">
        <v>201</v>
      </c>
      <c r="B10" s="1250" t="s">
        <v>3787</v>
      </c>
      <c r="C10" s="1250"/>
      <c r="D10" s="1250"/>
      <c r="E10" s="1250"/>
      <c r="F10" s="1251"/>
      <c r="G10" s="1254">
        <v>0</v>
      </c>
      <c r="H10" s="1255"/>
      <c r="I10" s="1241"/>
      <c r="J10" s="1242"/>
    </row>
    <row r="11" spans="1:59" ht="21" customHeight="1">
      <c r="A11" s="17" t="s">
        <v>79</v>
      </c>
      <c r="B11" s="1250" t="s">
        <v>3493</v>
      </c>
      <c r="C11" s="1250"/>
      <c r="D11" s="1250"/>
      <c r="E11" s="1250"/>
      <c r="F11" s="1251"/>
      <c r="G11" s="1254">
        <f>+G10</f>
        <v>0</v>
      </c>
      <c r="H11" s="1255"/>
      <c r="I11" s="1241"/>
      <c r="J11" s="1242"/>
    </row>
    <row r="12" spans="1:59" ht="21" customHeight="1">
      <c r="A12" s="17">
        <v>202</v>
      </c>
      <c r="B12" s="1250" t="s">
        <v>250</v>
      </c>
      <c r="C12" s="1250"/>
      <c r="D12" s="1250"/>
      <c r="E12" s="1250"/>
      <c r="F12" s="1251"/>
      <c r="G12" s="1254">
        <f>+IF(OR(EXACT(D7,"X"),EXACT(D7,"x")),+MIN(600000,ROUND(G10*0.3,0)),0)</f>
        <v>0</v>
      </c>
      <c r="H12" s="1255"/>
      <c r="I12" s="1241"/>
      <c r="J12" s="1242"/>
    </row>
    <row r="13" spans="1:59" ht="27.95" customHeight="1">
      <c r="A13" s="17">
        <v>203</v>
      </c>
      <c r="B13" s="1252" t="s">
        <v>82</v>
      </c>
      <c r="C13" s="1252"/>
      <c r="D13" s="1252"/>
      <c r="E13" s="1252"/>
      <c r="F13" s="1253"/>
      <c r="G13" s="858">
        <f>+G10-G12</f>
        <v>0</v>
      </c>
      <c r="H13" s="1274"/>
      <c r="I13" s="1241"/>
      <c r="J13" s="1242"/>
    </row>
    <row r="14" spans="1:59" ht="36" customHeight="1">
      <c r="A14" s="17">
        <v>204</v>
      </c>
      <c r="B14" s="1252" t="s">
        <v>3588</v>
      </c>
      <c r="C14" s="1252"/>
      <c r="D14" s="1252"/>
      <c r="E14" s="1252"/>
      <c r="F14" s="1253"/>
      <c r="G14" s="1254">
        <v>0</v>
      </c>
      <c r="H14" s="1255"/>
      <c r="I14" s="1241"/>
      <c r="J14" s="1242"/>
    </row>
    <row r="15" spans="1:59" ht="36" customHeight="1">
      <c r="A15" s="17">
        <v>205</v>
      </c>
      <c r="B15" s="1252" t="s">
        <v>3589</v>
      </c>
      <c r="C15" s="1252"/>
      <c r="D15" s="1252"/>
      <c r="E15" s="1252"/>
      <c r="F15" s="1253"/>
      <c r="G15" s="1254">
        <v>0</v>
      </c>
      <c r="H15" s="1255"/>
      <c r="I15" s="1241"/>
      <c r="J15" s="1242"/>
    </row>
    <row r="16" spans="1:59" ht="27.95" customHeight="1" thickBot="1">
      <c r="A16" s="16">
        <v>206</v>
      </c>
      <c r="B16" s="811" t="s">
        <v>3738</v>
      </c>
      <c r="C16" s="811"/>
      <c r="D16" s="811"/>
      <c r="E16" s="811"/>
      <c r="F16" s="1275"/>
      <c r="G16" s="855">
        <f>+G13+G14-G15</f>
        <v>0</v>
      </c>
      <c r="H16" s="1268"/>
      <c r="I16" s="1269"/>
      <c r="J16" s="888"/>
    </row>
    <row r="17" spans="1:10" ht="8.1" customHeight="1" thickBot="1">
      <c r="A17" s="1072"/>
      <c r="B17" s="1174"/>
      <c r="C17" s="1174"/>
      <c r="D17" s="1174"/>
      <c r="E17" s="1174"/>
      <c r="F17" s="1174"/>
      <c r="G17" s="1174"/>
      <c r="H17" s="1174"/>
      <c r="I17" s="1174"/>
      <c r="J17" s="1174"/>
    </row>
    <row r="18" spans="1:10" ht="24" customHeight="1" thickBot="1">
      <c r="A18" s="1243" t="s">
        <v>270</v>
      </c>
      <c r="B18" s="1244"/>
      <c r="C18" s="1246">
        <v>0</v>
      </c>
      <c r="D18" s="1247"/>
      <c r="E18" s="1248"/>
      <c r="F18" s="1245" t="s">
        <v>271</v>
      </c>
      <c r="G18" s="1244"/>
      <c r="H18" s="1246">
        <v>0</v>
      </c>
      <c r="I18" s="1247"/>
      <c r="J18" s="1249"/>
    </row>
    <row r="19" spans="1:10" ht="12" customHeight="1">
      <c r="A19" s="1072"/>
      <c r="B19" s="1174"/>
      <c r="C19" s="1174"/>
      <c r="D19" s="1174"/>
      <c r="E19" s="1174"/>
      <c r="F19" s="1174"/>
      <c r="G19" s="1174"/>
      <c r="H19" s="1174"/>
      <c r="I19" s="1174"/>
      <c r="J19" s="1174"/>
    </row>
    <row r="20" spans="1:10" ht="15.95" customHeight="1">
      <c r="A20" s="1072" t="s">
        <v>3494</v>
      </c>
      <c r="B20" s="1174"/>
      <c r="C20" s="1174"/>
      <c r="D20" s="1174"/>
      <c r="E20" s="1174"/>
      <c r="F20" s="1174"/>
      <c r="G20" s="1174"/>
      <c r="H20" s="1174"/>
      <c r="I20" s="1174"/>
      <c r="J20" s="1174"/>
    </row>
    <row r="21" spans="1:10" ht="15.95" customHeight="1" thickBot="1">
      <c r="A21" s="1239" t="s">
        <v>251</v>
      </c>
      <c r="B21" s="934"/>
      <c r="C21" s="934"/>
      <c r="D21" s="934"/>
      <c r="E21" s="934"/>
      <c r="F21" s="934"/>
      <c r="G21" s="934"/>
      <c r="H21" s="934"/>
      <c r="I21" s="934"/>
      <c r="J21" s="934"/>
    </row>
    <row r="22" spans="1:10" ht="24" customHeight="1">
      <c r="A22" s="1289" t="s">
        <v>145</v>
      </c>
      <c r="B22" s="853"/>
      <c r="C22" s="1206"/>
      <c r="D22" s="1176" t="s">
        <v>139</v>
      </c>
      <c r="E22" s="1278"/>
      <c r="F22" s="1176" t="s">
        <v>140</v>
      </c>
      <c r="G22" s="1278"/>
      <c r="H22" s="1282" t="s">
        <v>3495</v>
      </c>
      <c r="I22" s="949"/>
      <c r="J22" s="119" t="s">
        <v>89</v>
      </c>
    </row>
    <row r="23" spans="1:10">
      <c r="A23" s="1290">
        <v>1</v>
      </c>
      <c r="B23" s="773"/>
      <c r="C23" s="869"/>
      <c r="D23" s="919">
        <v>2</v>
      </c>
      <c r="E23" s="1279"/>
      <c r="F23" s="919">
        <v>3</v>
      </c>
      <c r="G23" s="1279"/>
      <c r="H23" s="919">
        <v>4</v>
      </c>
      <c r="I23" s="1283"/>
      <c r="J23" s="7">
        <v>5</v>
      </c>
    </row>
    <row r="24" spans="1:10" ht="21" customHeight="1">
      <c r="A24" s="17">
        <v>1</v>
      </c>
      <c r="B24" s="1293"/>
      <c r="C24" s="785"/>
      <c r="D24" s="1276">
        <v>0</v>
      </c>
      <c r="E24" s="1277"/>
      <c r="F24" s="1276">
        <v>0</v>
      </c>
      <c r="G24" s="1277"/>
      <c r="H24" s="1280">
        <f>+D24-F24</f>
        <v>0</v>
      </c>
      <c r="I24" s="1281"/>
      <c r="J24" s="100"/>
    </row>
    <row r="25" spans="1:10" ht="21" customHeight="1">
      <c r="A25" s="17">
        <v>2</v>
      </c>
      <c r="B25" s="1293"/>
      <c r="C25" s="785"/>
      <c r="D25" s="1276">
        <v>0</v>
      </c>
      <c r="E25" s="1277"/>
      <c r="F25" s="1276">
        <v>0</v>
      </c>
      <c r="G25" s="1277"/>
      <c r="H25" s="1280">
        <f t="shared" ref="H25:H27" si="0">+D25-F25</f>
        <v>0</v>
      </c>
      <c r="I25" s="1281"/>
      <c r="J25" s="100"/>
    </row>
    <row r="26" spans="1:10" ht="21" customHeight="1">
      <c r="A26" s="17">
        <v>3</v>
      </c>
      <c r="B26" s="1293"/>
      <c r="C26" s="785"/>
      <c r="D26" s="1276">
        <v>0</v>
      </c>
      <c r="E26" s="1277"/>
      <c r="F26" s="1276">
        <v>0</v>
      </c>
      <c r="G26" s="1277"/>
      <c r="H26" s="1280">
        <f t="shared" si="0"/>
        <v>0</v>
      </c>
      <c r="I26" s="1281"/>
      <c r="J26" s="100"/>
    </row>
    <row r="27" spans="1:10" ht="21" customHeight="1">
      <c r="A27" s="17">
        <v>4</v>
      </c>
      <c r="B27" s="1293"/>
      <c r="C27" s="785"/>
      <c r="D27" s="1276">
        <v>0</v>
      </c>
      <c r="E27" s="1277"/>
      <c r="F27" s="1276">
        <v>0</v>
      </c>
      <c r="G27" s="1277"/>
      <c r="H27" s="1280">
        <f t="shared" si="0"/>
        <v>0</v>
      </c>
      <c r="I27" s="1281"/>
      <c r="J27" s="100"/>
    </row>
    <row r="28" spans="1:10" ht="21" customHeight="1" thickBot="1">
      <c r="A28" s="1291" t="s">
        <v>107</v>
      </c>
      <c r="B28" s="1292"/>
      <c r="C28" s="883"/>
      <c r="D28" s="1284">
        <f>SUM(D24:D27)</f>
        <v>0</v>
      </c>
      <c r="E28" s="1285"/>
      <c r="F28" s="1284">
        <f>SUM(F24:F27)</f>
        <v>0</v>
      </c>
      <c r="G28" s="1285"/>
      <c r="H28" s="1284">
        <f>+MAX(H24,0)+MAX(H25,0)+MAX(H26,0)+MAX(H27,0)</f>
        <v>0</v>
      </c>
      <c r="I28" s="1285"/>
      <c r="J28" s="18" t="s">
        <v>135</v>
      </c>
    </row>
    <row r="29" spans="1:10" ht="5.0999999999999996" customHeight="1" thickBot="1">
      <c r="A29" s="1294"/>
      <c r="B29" s="695"/>
      <c r="C29" s="695"/>
      <c r="D29" s="695"/>
      <c r="E29" s="695"/>
      <c r="F29" s="695"/>
      <c r="G29" s="695"/>
      <c r="H29" s="695"/>
      <c r="I29" s="695"/>
      <c r="J29" s="695"/>
    </row>
    <row r="30" spans="1:10" ht="24" customHeight="1" thickBot="1">
      <c r="A30" s="789" t="s">
        <v>80</v>
      </c>
      <c r="B30" s="1295"/>
      <c r="C30" s="1296"/>
      <c r="D30" s="1297"/>
      <c r="E30" s="1298"/>
      <c r="F30" s="1299"/>
      <c r="G30" s="1299"/>
      <c r="H30" s="1299"/>
      <c r="I30" s="1299"/>
      <c r="J30" s="1299"/>
    </row>
    <row r="31" spans="1:10" ht="5.0999999999999996" customHeight="1" thickBot="1">
      <c r="A31" s="1287"/>
      <c r="B31" s="711"/>
      <c r="C31" s="711"/>
      <c r="D31" s="711"/>
      <c r="E31" s="711"/>
      <c r="F31" s="711"/>
      <c r="G31" s="711"/>
      <c r="H31" s="711"/>
      <c r="I31" s="711"/>
      <c r="J31" s="711"/>
    </row>
    <row r="32" spans="1:10" ht="15.95" customHeight="1">
      <c r="A32" s="1205"/>
      <c r="B32" s="849"/>
      <c r="C32" s="849"/>
      <c r="D32" s="849"/>
      <c r="E32" s="849"/>
      <c r="F32" s="1267"/>
      <c r="G32" s="960" t="s">
        <v>142</v>
      </c>
      <c r="H32" s="1261"/>
      <c r="I32" s="960" t="s">
        <v>150</v>
      </c>
      <c r="J32" s="1262"/>
    </row>
    <row r="33" spans="1:10" ht="21" customHeight="1">
      <c r="A33" s="17">
        <v>207</v>
      </c>
      <c r="B33" s="868" t="s">
        <v>7</v>
      </c>
      <c r="C33" s="868"/>
      <c r="D33" s="868"/>
      <c r="E33" s="868"/>
      <c r="F33" s="951"/>
      <c r="G33" s="823">
        <f>+SUM(D24:E27)</f>
        <v>0</v>
      </c>
      <c r="H33" s="825"/>
      <c r="I33" s="1271"/>
      <c r="J33" s="817"/>
    </row>
    <row r="34" spans="1:10" ht="21" customHeight="1">
      <c r="A34" s="17">
        <v>208</v>
      </c>
      <c r="B34" s="868" t="s">
        <v>3496</v>
      </c>
      <c r="C34" s="868"/>
      <c r="D34" s="868"/>
      <c r="E34" s="868"/>
      <c r="F34" s="951"/>
      <c r="G34" s="823">
        <f>+G33-H28</f>
        <v>0</v>
      </c>
      <c r="H34" s="825"/>
      <c r="I34" s="1271"/>
      <c r="J34" s="817"/>
    </row>
    <row r="35" spans="1:10" ht="21" customHeight="1" thickBot="1">
      <c r="A35" s="16">
        <v>209</v>
      </c>
      <c r="B35" s="1288" t="s">
        <v>110</v>
      </c>
      <c r="C35" s="1288"/>
      <c r="D35" s="1288"/>
      <c r="E35" s="1288"/>
      <c r="F35" s="978"/>
      <c r="G35" s="855">
        <f>+G33-G34</f>
        <v>0</v>
      </c>
      <c r="H35" s="857"/>
      <c r="I35" s="1286"/>
      <c r="J35" s="888"/>
    </row>
    <row r="36" spans="1:10" ht="10.5" customHeight="1">
      <c r="A36" s="1258" t="s">
        <v>83</v>
      </c>
      <c r="B36" s="1175"/>
      <c r="C36" s="1175"/>
      <c r="D36" s="1175"/>
      <c r="E36" s="1175"/>
      <c r="F36" s="1175"/>
      <c r="G36" s="1175"/>
      <c r="H36" s="1175"/>
      <c r="I36" s="1175"/>
      <c r="J36" s="1175"/>
    </row>
    <row r="37" spans="1:10" ht="30" customHeight="1">
      <c r="A37" s="1259" t="s">
        <v>3497</v>
      </c>
      <c r="B37" s="1260"/>
      <c r="C37" s="1260"/>
      <c r="D37" s="1260"/>
      <c r="E37" s="1260"/>
      <c r="F37" s="1260"/>
      <c r="G37" s="1260"/>
      <c r="H37" s="1260"/>
      <c r="I37" s="1260"/>
      <c r="J37" s="1260"/>
    </row>
    <row r="38" spans="1:10" ht="12.75" customHeight="1">
      <c r="A38" s="1263" t="str">
        <f>+'DAP1'!A46</f>
        <v>Formulář zpracovala ASPEKT HM, daňová, účetní a auditorská kancelář, www.danovapriznani.cz, business.center.cz</v>
      </c>
      <c r="B38" s="1264"/>
      <c r="C38" s="1264"/>
      <c r="D38" s="1264"/>
      <c r="E38" s="1264"/>
      <c r="F38" s="1264"/>
      <c r="G38" s="1264"/>
      <c r="H38" s="1264"/>
      <c r="I38" s="1264"/>
      <c r="J38" s="1264"/>
    </row>
    <row r="39" spans="1:10" ht="12.75" customHeight="1">
      <c r="A39" s="1102" t="s">
        <v>3946</v>
      </c>
      <c r="B39" s="1102"/>
      <c r="C39" s="1102"/>
      <c r="D39" s="1102"/>
      <c r="E39" s="1102"/>
      <c r="F39" s="1102"/>
      <c r="G39" s="1102"/>
      <c r="H39" s="1102"/>
      <c r="I39" s="1102"/>
      <c r="J39" s="1102"/>
    </row>
    <row r="40" spans="1:10" ht="12" customHeight="1">
      <c r="A40" s="1100" t="s">
        <v>287</v>
      </c>
      <c r="B40" s="1100"/>
      <c r="C40" s="1100"/>
      <c r="D40" s="1100"/>
      <c r="E40" s="1100"/>
      <c r="F40" s="1100"/>
      <c r="G40" s="1100"/>
      <c r="H40" s="655"/>
      <c r="I40" s="655"/>
      <c r="J40" s="655"/>
    </row>
    <row r="41" spans="1:10">
      <c r="A41" s="75"/>
      <c r="B41" s="75"/>
      <c r="C41" s="75"/>
      <c r="D41" s="75"/>
      <c r="E41" s="75"/>
      <c r="F41" s="75"/>
      <c r="G41" s="75"/>
      <c r="H41" s="75"/>
      <c r="I41" s="75"/>
      <c r="J41" s="75"/>
    </row>
    <row r="42" spans="1:10">
      <c r="A42" s="75"/>
      <c r="B42" s="75"/>
      <c r="C42" s="75"/>
      <c r="D42" s="75"/>
      <c r="E42" s="75"/>
      <c r="F42" s="75"/>
      <c r="G42" s="75"/>
      <c r="H42" s="75"/>
      <c r="I42" s="75"/>
      <c r="J42" s="75"/>
    </row>
    <row r="43" spans="1:10">
      <c r="A43" s="75"/>
      <c r="B43" s="75"/>
      <c r="C43" s="75"/>
      <c r="D43" s="75"/>
      <c r="E43" s="75"/>
      <c r="F43" s="75"/>
      <c r="G43" s="75"/>
      <c r="H43" s="75"/>
      <c r="I43" s="75"/>
      <c r="J43" s="75"/>
    </row>
    <row r="44" spans="1:10">
      <c r="A44" s="75"/>
      <c r="B44" s="75"/>
      <c r="C44" s="75"/>
      <c r="D44" s="75"/>
      <c r="E44" s="75"/>
      <c r="F44" s="75"/>
      <c r="G44" s="75"/>
      <c r="H44" s="75"/>
      <c r="I44" s="75"/>
      <c r="J44" s="75"/>
    </row>
    <row r="45" spans="1:10">
      <c r="A45" s="75"/>
      <c r="B45" s="75"/>
      <c r="C45" s="75"/>
      <c r="D45" s="75"/>
      <c r="E45" s="75"/>
      <c r="F45" s="75"/>
      <c r="G45" s="75"/>
      <c r="H45" s="75"/>
      <c r="I45" s="75"/>
      <c r="J45" s="75"/>
    </row>
    <row r="46" spans="1:10">
      <c r="A46" s="75"/>
      <c r="B46" s="75"/>
      <c r="C46" s="75"/>
      <c r="D46" s="75"/>
      <c r="E46" s="75"/>
      <c r="F46" s="75"/>
      <c r="G46" s="75"/>
      <c r="H46" s="75"/>
      <c r="I46" s="75"/>
      <c r="J46" s="75"/>
    </row>
    <row r="47" spans="1:10">
      <c r="A47" s="75"/>
      <c r="B47" s="75"/>
      <c r="C47" s="75"/>
      <c r="D47" s="75"/>
      <c r="E47" s="75"/>
      <c r="F47" s="75"/>
      <c r="G47" s="75"/>
      <c r="H47" s="75"/>
      <c r="I47" s="75"/>
      <c r="J47" s="75"/>
    </row>
    <row r="48" spans="1:10">
      <c r="A48" s="75"/>
      <c r="B48" s="75"/>
      <c r="C48" s="75"/>
      <c r="D48" s="75"/>
      <c r="E48" s="75"/>
      <c r="F48" s="75"/>
      <c r="G48" s="75"/>
      <c r="H48" s="75"/>
      <c r="I48" s="75"/>
      <c r="J48" s="75"/>
    </row>
    <row r="49" spans="1:10">
      <c r="A49" s="75"/>
      <c r="B49" s="75"/>
      <c r="C49" s="75"/>
      <c r="D49" s="75"/>
      <c r="E49" s="75"/>
      <c r="F49" s="75"/>
      <c r="G49" s="75"/>
      <c r="H49" s="75"/>
      <c r="I49" s="75"/>
      <c r="J49" s="75"/>
    </row>
    <row r="50" spans="1:10">
      <c r="A50" s="75"/>
      <c r="B50" s="75"/>
      <c r="C50" s="75"/>
      <c r="D50" s="75"/>
      <c r="E50" s="75"/>
      <c r="F50" s="75"/>
      <c r="G50" s="75"/>
      <c r="H50" s="75"/>
      <c r="I50" s="75"/>
      <c r="J50" s="75"/>
    </row>
    <row r="51" spans="1:10">
      <c r="A51" s="75"/>
      <c r="B51" s="75"/>
      <c r="C51" s="75"/>
      <c r="D51" s="75"/>
      <c r="E51" s="75"/>
      <c r="F51" s="75"/>
      <c r="G51" s="75"/>
      <c r="H51" s="75"/>
      <c r="I51" s="75"/>
      <c r="J51" s="75"/>
    </row>
    <row r="52" spans="1:10">
      <c r="A52" s="75"/>
      <c r="B52" s="75"/>
      <c r="C52" s="75"/>
      <c r="D52" s="75"/>
      <c r="E52" s="75"/>
      <c r="F52" s="75"/>
      <c r="G52" s="75"/>
      <c r="H52" s="75"/>
      <c r="I52" s="75"/>
      <c r="J52" s="75"/>
    </row>
    <row r="53" spans="1:10">
      <c r="A53" s="75"/>
      <c r="B53" s="75"/>
      <c r="C53" s="75"/>
      <c r="D53" s="75"/>
      <c r="E53" s="75"/>
      <c r="F53" s="75"/>
      <c r="G53" s="75"/>
      <c r="H53" s="75"/>
      <c r="I53" s="75"/>
      <c r="J53" s="75"/>
    </row>
    <row r="54" spans="1:10">
      <c r="A54" s="75"/>
      <c r="B54" s="75"/>
      <c r="C54" s="75"/>
      <c r="D54" s="75"/>
      <c r="E54" s="75"/>
      <c r="F54" s="75"/>
      <c r="G54" s="75"/>
      <c r="H54" s="75"/>
      <c r="I54" s="75"/>
      <c r="J54" s="75"/>
    </row>
    <row r="55" spans="1:10">
      <c r="A55" s="75"/>
      <c r="B55" s="75"/>
      <c r="C55" s="75"/>
      <c r="D55" s="75"/>
      <c r="E55" s="75"/>
      <c r="F55" s="75"/>
      <c r="G55" s="75"/>
      <c r="H55" s="75"/>
      <c r="I55" s="75"/>
      <c r="J55" s="75"/>
    </row>
    <row r="56" spans="1:10">
      <c r="A56" s="75"/>
      <c r="B56" s="75"/>
      <c r="C56" s="75"/>
      <c r="D56" s="75"/>
      <c r="E56" s="75"/>
      <c r="F56" s="75"/>
      <c r="G56" s="75"/>
      <c r="H56" s="75"/>
      <c r="I56" s="75"/>
      <c r="J56" s="75"/>
    </row>
    <row r="57" spans="1:10">
      <c r="A57" s="75"/>
      <c r="B57" s="75"/>
      <c r="C57" s="75"/>
      <c r="D57" s="75"/>
      <c r="E57" s="75"/>
      <c r="F57" s="75"/>
      <c r="G57" s="75"/>
      <c r="H57" s="75"/>
      <c r="I57" s="75"/>
      <c r="J57" s="75"/>
    </row>
    <row r="58" spans="1:10">
      <c r="A58" s="75"/>
      <c r="B58" s="75"/>
      <c r="C58" s="75"/>
      <c r="D58" s="75"/>
      <c r="E58" s="75"/>
      <c r="F58" s="75"/>
      <c r="G58" s="75"/>
      <c r="H58" s="75"/>
      <c r="I58" s="75"/>
      <c r="J58" s="75"/>
    </row>
    <row r="59" spans="1:10">
      <c r="A59" s="75"/>
      <c r="B59" s="75"/>
      <c r="C59" s="75"/>
      <c r="D59" s="75"/>
      <c r="E59" s="75"/>
      <c r="F59" s="75"/>
      <c r="G59" s="75"/>
      <c r="H59" s="75"/>
      <c r="I59" s="75"/>
      <c r="J59" s="75"/>
    </row>
    <row r="60" spans="1:10">
      <c r="A60" s="75"/>
      <c r="B60" s="75"/>
      <c r="C60" s="75"/>
      <c r="D60" s="75"/>
      <c r="E60" s="75"/>
      <c r="F60" s="75"/>
      <c r="G60" s="75"/>
      <c r="H60" s="75"/>
      <c r="I60" s="75"/>
      <c r="J60" s="75"/>
    </row>
    <row r="61" spans="1:10">
      <c r="A61" s="75"/>
      <c r="B61" s="75"/>
      <c r="C61" s="75"/>
      <c r="D61" s="75"/>
      <c r="E61" s="75"/>
      <c r="F61" s="75"/>
      <c r="G61" s="75"/>
      <c r="H61" s="75"/>
      <c r="I61" s="75"/>
      <c r="J61" s="75"/>
    </row>
    <row r="62" spans="1:10">
      <c r="A62" s="75"/>
      <c r="B62" s="75"/>
      <c r="C62" s="75"/>
      <c r="D62" s="75"/>
      <c r="E62" s="75"/>
      <c r="F62" s="75"/>
      <c r="G62" s="75"/>
      <c r="H62" s="75"/>
      <c r="I62" s="75"/>
      <c r="J62" s="75"/>
    </row>
    <row r="63" spans="1:10">
      <c r="A63" s="75"/>
      <c r="B63" s="75"/>
      <c r="C63" s="75"/>
      <c r="D63" s="75"/>
      <c r="E63" s="75"/>
      <c r="F63" s="75"/>
      <c r="G63" s="75"/>
      <c r="H63" s="75"/>
      <c r="I63" s="75"/>
      <c r="J63" s="75"/>
    </row>
    <row r="64" spans="1:10">
      <c r="A64" s="75"/>
      <c r="B64" s="75"/>
      <c r="C64" s="75"/>
      <c r="D64" s="75"/>
      <c r="E64" s="75"/>
      <c r="F64" s="75"/>
      <c r="G64" s="75"/>
      <c r="H64" s="75"/>
      <c r="I64" s="75"/>
      <c r="J64" s="75"/>
    </row>
    <row r="65" spans="1:10">
      <c r="A65" s="75"/>
      <c r="B65" s="75"/>
      <c r="C65" s="75"/>
      <c r="D65" s="75"/>
      <c r="E65" s="75"/>
      <c r="F65" s="75"/>
      <c r="G65" s="75"/>
      <c r="H65" s="75"/>
      <c r="I65" s="75"/>
      <c r="J65" s="75"/>
    </row>
    <row r="66" spans="1:10">
      <c r="A66" s="75"/>
      <c r="B66" s="75"/>
      <c r="C66" s="75"/>
      <c r="D66" s="75"/>
      <c r="E66" s="75"/>
      <c r="F66" s="75"/>
      <c r="G66" s="75"/>
      <c r="H66" s="75"/>
      <c r="I66" s="75"/>
      <c r="J66" s="75"/>
    </row>
    <row r="67" spans="1:10">
      <c r="A67" s="75"/>
      <c r="B67" s="75"/>
      <c r="C67" s="75"/>
      <c r="D67" s="75"/>
      <c r="E67" s="75"/>
      <c r="F67" s="75"/>
      <c r="G67" s="75"/>
      <c r="H67" s="75"/>
      <c r="I67" s="75"/>
      <c r="J67" s="75"/>
    </row>
    <row r="68" spans="1:10">
      <c r="A68" s="75"/>
      <c r="B68" s="75"/>
      <c r="C68" s="75"/>
      <c r="D68" s="75"/>
      <c r="E68" s="75"/>
      <c r="F68" s="75"/>
      <c r="G68" s="75"/>
      <c r="H68" s="75"/>
      <c r="I68" s="75"/>
      <c r="J68" s="75"/>
    </row>
    <row r="69" spans="1:10">
      <c r="A69" s="75"/>
      <c r="B69" s="75"/>
      <c r="C69" s="75"/>
      <c r="D69" s="75"/>
      <c r="E69" s="75"/>
      <c r="F69" s="75"/>
      <c r="G69" s="75"/>
      <c r="H69" s="75"/>
      <c r="I69" s="75"/>
      <c r="J69" s="75"/>
    </row>
    <row r="70" spans="1:10">
      <c r="A70" s="75"/>
      <c r="B70" s="75"/>
      <c r="C70" s="75"/>
      <c r="D70" s="75"/>
      <c r="E70" s="75"/>
      <c r="F70" s="75"/>
      <c r="G70" s="75"/>
      <c r="H70" s="75"/>
      <c r="I70" s="75"/>
      <c r="J70" s="75"/>
    </row>
    <row r="71" spans="1:10">
      <c r="A71" s="75"/>
      <c r="B71" s="75"/>
      <c r="C71" s="75"/>
      <c r="D71" s="75"/>
      <c r="E71" s="75"/>
      <c r="F71" s="75"/>
      <c r="G71" s="75"/>
      <c r="H71" s="75"/>
      <c r="I71" s="75"/>
      <c r="J71" s="75"/>
    </row>
    <row r="72" spans="1:10">
      <c r="A72" s="75"/>
      <c r="B72" s="75"/>
      <c r="C72" s="75"/>
      <c r="D72" s="75"/>
      <c r="E72" s="75"/>
      <c r="F72" s="75"/>
      <c r="G72" s="75"/>
      <c r="H72" s="75"/>
      <c r="I72" s="75"/>
      <c r="J72" s="75"/>
    </row>
    <row r="73" spans="1:10">
      <c r="A73" s="75"/>
      <c r="B73" s="75"/>
      <c r="C73" s="75"/>
      <c r="D73" s="75"/>
      <c r="E73" s="75"/>
      <c r="F73" s="75"/>
      <c r="G73" s="75"/>
      <c r="H73" s="75"/>
      <c r="I73" s="75"/>
      <c r="J73" s="75"/>
    </row>
    <row r="74" spans="1:10">
      <c r="A74" s="75"/>
      <c r="B74" s="75"/>
      <c r="C74" s="75"/>
      <c r="D74" s="75"/>
      <c r="E74" s="75"/>
      <c r="F74" s="75"/>
      <c r="G74" s="75"/>
      <c r="H74" s="75"/>
      <c r="I74" s="75"/>
      <c r="J74" s="75"/>
    </row>
    <row r="75" spans="1:10">
      <c r="A75" s="75"/>
      <c r="B75" s="75"/>
      <c r="C75" s="75"/>
      <c r="D75" s="75"/>
      <c r="E75" s="75"/>
      <c r="F75" s="75"/>
      <c r="G75" s="75"/>
      <c r="H75" s="75"/>
      <c r="I75" s="75"/>
      <c r="J75" s="75"/>
    </row>
    <row r="76" spans="1:10">
      <c r="A76" s="75"/>
      <c r="B76" s="75"/>
      <c r="C76" s="75"/>
      <c r="D76" s="75"/>
      <c r="E76" s="75"/>
      <c r="F76" s="75"/>
      <c r="G76" s="75"/>
      <c r="H76" s="75"/>
      <c r="I76" s="75"/>
      <c r="J76" s="75"/>
    </row>
    <row r="77" spans="1:10">
      <c r="A77" s="75"/>
      <c r="B77" s="75"/>
      <c r="C77" s="75"/>
      <c r="D77" s="75"/>
      <c r="E77" s="75"/>
      <c r="F77" s="75"/>
      <c r="G77" s="75"/>
      <c r="H77" s="75"/>
      <c r="I77" s="75"/>
      <c r="J77" s="75"/>
    </row>
    <row r="78" spans="1:10">
      <c r="A78" s="75"/>
      <c r="B78" s="75"/>
      <c r="C78" s="75"/>
      <c r="D78" s="75"/>
      <c r="E78" s="75"/>
      <c r="F78" s="75"/>
      <c r="G78" s="75"/>
      <c r="H78" s="75"/>
      <c r="I78" s="75"/>
      <c r="J78" s="75"/>
    </row>
    <row r="79" spans="1:10">
      <c r="A79" s="75"/>
      <c r="B79" s="75"/>
      <c r="C79" s="75"/>
      <c r="D79" s="75"/>
      <c r="E79" s="75"/>
      <c r="F79" s="75"/>
      <c r="G79" s="75"/>
      <c r="H79" s="75"/>
      <c r="I79" s="75"/>
      <c r="J79" s="75"/>
    </row>
    <row r="80" spans="1:10">
      <c r="A80" s="75"/>
      <c r="B80" s="75"/>
      <c r="C80" s="75"/>
      <c r="D80" s="75"/>
      <c r="E80" s="75"/>
      <c r="F80" s="75"/>
      <c r="G80" s="75"/>
      <c r="H80" s="75"/>
      <c r="I80" s="75"/>
      <c r="J80" s="75"/>
    </row>
    <row r="81" spans="1:10">
      <c r="A81" s="75"/>
      <c r="B81" s="75"/>
      <c r="C81" s="75"/>
      <c r="D81" s="75"/>
      <c r="E81" s="75"/>
      <c r="F81" s="75"/>
      <c r="G81" s="75"/>
      <c r="H81" s="75"/>
      <c r="I81" s="75"/>
      <c r="J81" s="75"/>
    </row>
    <row r="82" spans="1:10">
      <c r="A82" s="75"/>
      <c r="B82" s="75"/>
      <c r="C82" s="75"/>
      <c r="D82" s="75"/>
      <c r="E82" s="75"/>
      <c r="F82" s="75"/>
      <c r="G82" s="75"/>
      <c r="H82" s="75"/>
      <c r="I82" s="75"/>
      <c r="J82" s="75"/>
    </row>
    <row r="83" spans="1:10">
      <c r="A83" s="75"/>
      <c r="B83" s="75"/>
      <c r="C83" s="75"/>
      <c r="D83" s="75"/>
      <c r="E83" s="75"/>
      <c r="F83" s="75"/>
      <c r="G83" s="75"/>
      <c r="H83" s="75"/>
      <c r="I83" s="75"/>
      <c r="J83" s="75"/>
    </row>
    <row r="84" spans="1:10">
      <c r="A84" s="75"/>
      <c r="B84" s="75"/>
      <c r="C84" s="75"/>
      <c r="D84" s="75"/>
      <c r="E84" s="75"/>
      <c r="F84" s="75"/>
      <c r="G84" s="75"/>
      <c r="H84" s="75"/>
      <c r="I84" s="75"/>
      <c r="J84" s="75"/>
    </row>
    <row r="85" spans="1:10">
      <c r="A85" s="75"/>
      <c r="B85" s="75"/>
      <c r="C85" s="75"/>
      <c r="D85" s="75"/>
      <c r="E85" s="75"/>
      <c r="F85" s="75"/>
      <c r="G85" s="75"/>
      <c r="H85" s="75"/>
      <c r="I85" s="75"/>
      <c r="J85" s="75"/>
    </row>
    <row r="86" spans="1:10">
      <c r="A86" s="75"/>
      <c r="B86" s="75"/>
      <c r="C86" s="75"/>
      <c r="D86" s="75"/>
      <c r="E86" s="75"/>
      <c r="F86" s="75"/>
      <c r="G86" s="75"/>
      <c r="H86" s="75"/>
      <c r="I86" s="75"/>
      <c r="J86" s="75"/>
    </row>
    <row r="87" spans="1:10">
      <c r="A87" s="75"/>
      <c r="B87" s="75"/>
      <c r="C87" s="75"/>
      <c r="D87" s="75"/>
      <c r="E87" s="75"/>
      <c r="F87" s="75"/>
      <c r="G87" s="75"/>
      <c r="H87" s="75"/>
      <c r="I87" s="75"/>
      <c r="J87" s="75"/>
    </row>
    <row r="88" spans="1:10">
      <c r="A88" s="75"/>
      <c r="B88" s="75"/>
      <c r="C88" s="75"/>
      <c r="D88" s="75"/>
      <c r="E88" s="75"/>
      <c r="F88" s="75"/>
      <c r="G88" s="75"/>
      <c r="H88" s="75"/>
      <c r="I88" s="75"/>
      <c r="J88" s="75"/>
    </row>
    <row r="89" spans="1:10">
      <c r="A89" s="75"/>
      <c r="B89" s="75"/>
      <c r="C89" s="75"/>
      <c r="D89" s="75"/>
      <c r="E89" s="75"/>
      <c r="F89" s="75"/>
      <c r="G89" s="75"/>
      <c r="H89" s="75"/>
      <c r="I89" s="75"/>
      <c r="J89" s="75"/>
    </row>
    <row r="90" spans="1:10">
      <c r="A90" s="75"/>
      <c r="B90" s="75"/>
      <c r="C90" s="75"/>
      <c r="D90" s="75"/>
      <c r="E90" s="75"/>
      <c r="F90" s="75"/>
      <c r="G90" s="75"/>
      <c r="H90" s="75"/>
      <c r="I90" s="75"/>
      <c r="J90" s="75"/>
    </row>
    <row r="91" spans="1:10">
      <c r="A91" s="75"/>
      <c r="B91" s="75"/>
      <c r="C91" s="75"/>
      <c r="D91" s="75"/>
      <c r="E91" s="75"/>
      <c r="F91" s="75"/>
      <c r="G91" s="75"/>
      <c r="H91" s="75"/>
      <c r="I91" s="75"/>
      <c r="J91" s="75"/>
    </row>
    <row r="92" spans="1:10">
      <c r="A92" s="75"/>
      <c r="B92" s="75"/>
      <c r="C92" s="75"/>
      <c r="D92" s="75"/>
      <c r="E92" s="75"/>
      <c r="F92" s="75"/>
      <c r="G92" s="75"/>
      <c r="H92" s="75"/>
      <c r="I92" s="75"/>
      <c r="J92" s="75"/>
    </row>
    <row r="93" spans="1:10">
      <c r="A93" s="75"/>
      <c r="B93" s="75"/>
      <c r="C93" s="75"/>
      <c r="D93" s="75"/>
      <c r="E93" s="75"/>
      <c r="F93" s="75"/>
      <c r="G93" s="75"/>
      <c r="H93" s="75"/>
      <c r="I93" s="75"/>
      <c r="J93" s="75"/>
    </row>
    <row r="94" spans="1:10">
      <c r="A94" s="75"/>
      <c r="B94" s="75"/>
      <c r="C94" s="75"/>
      <c r="D94" s="75"/>
      <c r="E94" s="75"/>
      <c r="F94" s="75"/>
      <c r="G94" s="75"/>
      <c r="H94" s="75"/>
      <c r="I94" s="75"/>
      <c r="J94" s="75"/>
    </row>
    <row r="95" spans="1:10">
      <c r="A95" s="75"/>
      <c r="B95" s="75"/>
      <c r="C95" s="75"/>
      <c r="D95" s="75"/>
      <c r="E95" s="75"/>
      <c r="F95" s="75"/>
      <c r="G95" s="75"/>
      <c r="H95" s="75"/>
      <c r="I95" s="75"/>
      <c r="J95" s="75"/>
    </row>
    <row r="96" spans="1:10">
      <c r="A96" s="75"/>
      <c r="B96" s="75"/>
      <c r="C96" s="75"/>
      <c r="D96" s="75"/>
      <c r="E96" s="75"/>
      <c r="F96" s="75"/>
      <c r="G96" s="75"/>
      <c r="H96" s="75"/>
      <c r="I96" s="75"/>
      <c r="J96" s="75"/>
    </row>
    <row r="97" spans="1:10">
      <c r="A97" s="75"/>
      <c r="B97" s="75"/>
      <c r="C97" s="75"/>
      <c r="D97" s="75"/>
      <c r="E97" s="75"/>
      <c r="F97" s="75"/>
      <c r="G97" s="75"/>
      <c r="H97" s="75"/>
      <c r="I97" s="75"/>
      <c r="J97" s="75"/>
    </row>
    <row r="98" spans="1:10">
      <c r="A98" s="75"/>
      <c r="B98" s="75"/>
      <c r="C98" s="75"/>
      <c r="D98" s="75"/>
      <c r="E98" s="75"/>
      <c r="F98" s="75"/>
      <c r="G98" s="75"/>
      <c r="H98" s="75"/>
      <c r="I98" s="75"/>
      <c r="J98" s="75"/>
    </row>
    <row r="99" spans="1:10">
      <c r="A99" s="75"/>
      <c r="B99" s="75"/>
      <c r="C99" s="75"/>
      <c r="D99" s="75"/>
      <c r="E99" s="75"/>
      <c r="F99" s="75"/>
      <c r="G99" s="75"/>
      <c r="H99" s="75"/>
      <c r="I99" s="75"/>
      <c r="J99" s="75"/>
    </row>
    <row r="100" spans="1:10">
      <c r="A100" s="75"/>
      <c r="B100" s="75"/>
      <c r="C100" s="75"/>
      <c r="D100" s="75"/>
      <c r="E100" s="75"/>
      <c r="F100" s="75"/>
      <c r="G100" s="75"/>
      <c r="H100" s="75"/>
      <c r="I100" s="75"/>
      <c r="J100" s="75"/>
    </row>
    <row r="101" spans="1:10">
      <c r="A101" s="75"/>
      <c r="B101" s="75"/>
      <c r="C101" s="75"/>
      <c r="D101" s="75"/>
      <c r="E101" s="75"/>
      <c r="F101" s="75"/>
      <c r="G101" s="75"/>
      <c r="H101" s="75"/>
      <c r="I101" s="75"/>
      <c r="J101" s="75"/>
    </row>
    <row r="102" spans="1:10">
      <c r="A102" s="75"/>
      <c r="B102" s="75"/>
      <c r="C102" s="75"/>
      <c r="D102" s="75"/>
      <c r="E102" s="75"/>
      <c r="F102" s="75"/>
      <c r="G102" s="75"/>
      <c r="H102" s="75"/>
      <c r="I102" s="75"/>
      <c r="J102" s="75"/>
    </row>
    <row r="103" spans="1:10">
      <c r="A103" s="75"/>
      <c r="B103" s="75"/>
      <c r="C103" s="75"/>
      <c r="D103" s="75"/>
      <c r="E103" s="75"/>
      <c r="F103" s="75"/>
      <c r="G103" s="75"/>
      <c r="H103" s="75"/>
      <c r="I103" s="75"/>
      <c r="J103" s="75"/>
    </row>
    <row r="104" spans="1:10">
      <c r="A104" s="75"/>
      <c r="B104" s="75"/>
      <c r="C104" s="75"/>
      <c r="D104" s="75"/>
      <c r="E104" s="75"/>
      <c r="F104" s="75"/>
      <c r="G104" s="75"/>
      <c r="H104" s="75"/>
      <c r="I104" s="75"/>
      <c r="J104" s="75"/>
    </row>
    <row r="105" spans="1:10">
      <c r="A105" s="75"/>
      <c r="B105" s="75"/>
      <c r="C105" s="75"/>
      <c r="D105" s="75"/>
      <c r="E105" s="75"/>
      <c r="F105" s="75"/>
      <c r="G105" s="75"/>
      <c r="H105" s="75"/>
      <c r="I105" s="75"/>
      <c r="J105" s="75"/>
    </row>
    <row r="106" spans="1:10">
      <c r="A106" s="75"/>
      <c r="B106" s="75"/>
      <c r="C106" s="75"/>
      <c r="D106" s="75"/>
      <c r="E106" s="75"/>
      <c r="F106" s="75"/>
      <c r="G106" s="75"/>
      <c r="H106" s="75"/>
      <c r="I106" s="75"/>
      <c r="J106" s="75"/>
    </row>
    <row r="107" spans="1:10">
      <c r="A107" s="75"/>
      <c r="B107" s="75"/>
      <c r="C107" s="75"/>
      <c r="D107" s="75"/>
      <c r="E107" s="75"/>
      <c r="F107" s="75"/>
      <c r="G107" s="75"/>
      <c r="H107" s="75"/>
      <c r="I107" s="75"/>
      <c r="J107" s="75"/>
    </row>
    <row r="108" spans="1:10">
      <c r="A108" s="75"/>
      <c r="B108" s="75"/>
      <c r="C108" s="75"/>
      <c r="D108" s="75"/>
      <c r="E108" s="75"/>
      <c r="F108" s="75"/>
      <c r="G108" s="75"/>
      <c r="H108" s="75"/>
      <c r="I108" s="75"/>
      <c r="J108" s="75"/>
    </row>
    <row r="109" spans="1:10">
      <c r="A109" s="75"/>
      <c r="B109" s="75"/>
      <c r="C109" s="75"/>
      <c r="D109" s="75"/>
      <c r="E109" s="75"/>
      <c r="F109" s="75"/>
      <c r="G109" s="75"/>
      <c r="H109" s="75"/>
      <c r="I109" s="75"/>
      <c r="J109" s="75"/>
    </row>
    <row r="110" spans="1:10">
      <c r="A110" s="75"/>
      <c r="B110" s="75"/>
      <c r="C110" s="75"/>
      <c r="D110" s="75"/>
      <c r="E110" s="75"/>
      <c r="F110" s="75"/>
      <c r="G110" s="75"/>
      <c r="H110" s="75"/>
      <c r="I110" s="75"/>
      <c r="J110" s="75"/>
    </row>
    <row r="111" spans="1:10">
      <c r="A111" s="75"/>
      <c r="B111" s="75"/>
      <c r="C111" s="75"/>
      <c r="D111" s="75"/>
      <c r="E111" s="75"/>
      <c r="F111" s="75"/>
      <c r="G111" s="75"/>
      <c r="H111" s="75"/>
      <c r="I111" s="75"/>
      <c r="J111" s="75"/>
    </row>
    <row r="112" spans="1:10">
      <c r="A112" s="75"/>
      <c r="B112" s="75"/>
      <c r="C112" s="75"/>
      <c r="D112" s="75"/>
      <c r="E112" s="75"/>
      <c r="F112" s="75"/>
      <c r="G112" s="75"/>
      <c r="H112" s="75"/>
      <c r="I112" s="75"/>
      <c r="J112" s="75"/>
    </row>
    <row r="113" spans="1:10">
      <c r="A113" s="75"/>
      <c r="B113" s="75"/>
      <c r="C113" s="75"/>
      <c r="D113" s="75"/>
      <c r="E113" s="75"/>
      <c r="F113" s="75"/>
      <c r="G113" s="75"/>
      <c r="H113" s="75"/>
      <c r="I113" s="75"/>
      <c r="J113" s="75"/>
    </row>
    <row r="114" spans="1:10">
      <c r="A114" s="75"/>
      <c r="B114" s="75"/>
      <c r="C114" s="75"/>
      <c r="D114" s="75"/>
      <c r="E114" s="75"/>
      <c r="F114" s="75"/>
      <c r="G114" s="75"/>
      <c r="H114" s="75"/>
      <c r="I114" s="75"/>
      <c r="J114" s="75"/>
    </row>
    <row r="115" spans="1:10">
      <c r="A115" s="75"/>
      <c r="B115" s="75"/>
      <c r="C115" s="75"/>
      <c r="D115" s="75"/>
      <c r="E115" s="75"/>
      <c r="F115" s="75"/>
      <c r="G115" s="75"/>
      <c r="H115" s="75"/>
      <c r="I115" s="75"/>
      <c r="J115" s="75"/>
    </row>
    <row r="116" spans="1:10">
      <c r="A116" s="75"/>
      <c r="B116" s="75"/>
      <c r="C116" s="75"/>
      <c r="D116" s="75"/>
      <c r="E116" s="75"/>
      <c r="F116" s="75"/>
      <c r="G116" s="75"/>
      <c r="H116" s="75"/>
      <c r="I116" s="75"/>
      <c r="J116" s="75"/>
    </row>
    <row r="117" spans="1:10">
      <c r="A117" s="75"/>
      <c r="B117" s="75"/>
      <c r="C117" s="75"/>
      <c r="D117" s="75"/>
      <c r="E117" s="75"/>
      <c r="F117" s="75"/>
      <c r="G117" s="75"/>
      <c r="H117" s="75"/>
      <c r="I117" s="75"/>
      <c r="J117" s="75"/>
    </row>
    <row r="118" spans="1:10">
      <c r="A118" s="75"/>
      <c r="B118" s="75"/>
      <c r="C118" s="75"/>
      <c r="D118" s="75"/>
      <c r="E118" s="75"/>
      <c r="F118" s="75"/>
      <c r="G118" s="75"/>
      <c r="H118" s="75"/>
      <c r="I118" s="75"/>
      <c r="J118" s="75"/>
    </row>
    <row r="119" spans="1:10">
      <c r="A119" s="75"/>
      <c r="B119" s="75"/>
      <c r="C119" s="75"/>
      <c r="D119" s="75"/>
      <c r="E119" s="75"/>
      <c r="F119" s="75"/>
      <c r="G119" s="75"/>
      <c r="H119" s="75"/>
      <c r="I119" s="75"/>
      <c r="J119" s="75"/>
    </row>
    <row r="120" spans="1:10">
      <c r="A120" s="75"/>
      <c r="B120" s="75"/>
      <c r="C120" s="75"/>
      <c r="D120" s="75"/>
      <c r="E120" s="75"/>
      <c r="F120" s="75"/>
      <c r="G120" s="75"/>
      <c r="H120" s="75"/>
      <c r="I120" s="75"/>
      <c r="J120" s="75"/>
    </row>
    <row r="121" spans="1:10">
      <c r="A121" s="75"/>
      <c r="B121" s="75"/>
      <c r="C121" s="75"/>
      <c r="D121" s="75"/>
      <c r="E121" s="75"/>
      <c r="F121" s="75"/>
      <c r="G121" s="75"/>
      <c r="H121" s="75"/>
      <c r="I121" s="75"/>
      <c r="J121" s="75"/>
    </row>
    <row r="122" spans="1:10">
      <c r="A122" s="75"/>
      <c r="B122" s="75"/>
      <c r="C122" s="75"/>
      <c r="D122" s="75"/>
      <c r="E122" s="75"/>
      <c r="F122" s="75"/>
      <c r="G122" s="75"/>
      <c r="H122" s="75"/>
      <c r="I122" s="75"/>
      <c r="J122" s="75"/>
    </row>
    <row r="123" spans="1:10">
      <c r="A123" s="75"/>
      <c r="B123" s="75"/>
      <c r="C123" s="75"/>
      <c r="D123" s="75"/>
      <c r="E123" s="75"/>
      <c r="F123" s="75"/>
      <c r="G123" s="75"/>
      <c r="H123" s="75"/>
      <c r="I123" s="75"/>
      <c r="J123" s="75"/>
    </row>
    <row r="124" spans="1:10">
      <c r="A124" s="75"/>
      <c r="B124" s="75"/>
      <c r="C124" s="75"/>
      <c r="D124" s="75"/>
      <c r="E124" s="75"/>
      <c r="F124" s="75"/>
      <c r="G124" s="75"/>
      <c r="H124" s="75"/>
      <c r="I124" s="75"/>
      <c r="J124" s="75"/>
    </row>
    <row r="125" spans="1:10">
      <c r="A125" s="75"/>
      <c r="B125" s="75"/>
      <c r="C125" s="75"/>
      <c r="D125" s="75"/>
      <c r="E125" s="75"/>
      <c r="F125" s="75"/>
      <c r="G125" s="75"/>
      <c r="H125" s="75"/>
      <c r="I125" s="75"/>
      <c r="J125" s="75"/>
    </row>
    <row r="126" spans="1:10">
      <c r="A126" s="75"/>
      <c r="B126" s="75"/>
      <c r="C126" s="75"/>
      <c r="D126" s="75"/>
      <c r="E126" s="75"/>
      <c r="F126" s="75"/>
      <c r="G126" s="75"/>
      <c r="H126" s="75"/>
      <c r="I126" s="75"/>
      <c r="J126" s="75"/>
    </row>
    <row r="127" spans="1:10">
      <c r="A127" s="75"/>
      <c r="B127" s="75"/>
      <c r="C127" s="75"/>
      <c r="D127" s="75"/>
      <c r="E127" s="75"/>
      <c r="F127" s="75"/>
      <c r="G127" s="75"/>
      <c r="H127" s="75"/>
      <c r="I127" s="75"/>
      <c r="J127" s="75"/>
    </row>
    <row r="128" spans="1:10">
      <c r="A128" s="75"/>
      <c r="B128" s="75"/>
      <c r="C128" s="75"/>
      <c r="D128" s="75"/>
      <c r="E128" s="75"/>
      <c r="F128" s="75"/>
      <c r="G128" s="75"/>
      <c r="H128" s="75"/>
      <c r="I128" s="75"/>
      <c r="J128" s="75"/>
    </row>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row r="155" s="75" customFormat="1"/>
    <row r="156" s="75" customFormat="1"/>
    <row r="157" s="75" customFormat="1"/>
    <row r="158" s="75" customFormat="1"/>
    <row r="159" s="75" customFormat="1"/>
    <row r="160" s="75" customFormat="1"/>
    <row r="161" s="75" customFormat="1"/>
    <row r="162" s="75" customFormat="1"/>
    <row r="163" s="75" customFormat="1"/>
    <row r="164" s="75" customFormat="1"/>
    <row r="165" s="75" customFormat="1"/>
    <row r="166" s="75" customFormat="1"/>
    <row r="167" s="75" customFormat="1"/>
    <row r="168" s="75" customFormat="1"/>
    <row r="169" s="75" customFormat="1"/>
    <row r="170" s="75" customFormat="1"/>
    <row r="171" s="75" customFormat="1"/>
    <row r="172" s="75" customFormat="1"/>
    <row r="173" s="75" customFormat="1"/>
    <row r="174" s="75" customFormat="1"/>
    <row r="175" s="75" customFormat="1"/>
    <row r="176" s="75" customFormat="1"/>
    <row r="177" s="75" customFormat="1"/>
    <row r="178" s="75" customFormat="1"/>
    <row r="179" s="75" customFormat="1"/>
    <row r="180" s="75" customFormat="1"/>
    <row r="181" s="75" customFormat="1"/>
    <row r="182" s="75" customFormat="1"/>
    <row r="183" s="75" customFormat="1"/>
    <row r="184" s="75" customFormat="1"/>
    <row r="185" s="75" customFormat="1"/>
    <row r="186" s="75" customFormat="1"/>
    <row r="187" s="75" customFormat="1"/>
    <row r="188" s="75" customFormat="1"/>
    <row r="189" s="75" customFormat="1"/>
    <row r="190" s="75" customFormat="1"/>
    <row r="191" s="75" customFormat="1"/>
    <row r="192" s="75" customFormat="1"/>
    <row r="193" s="75" customFormat="1"/>
    <row r="194" s="75" customFormat="1"/>
    <row r="195" s="75" customFormat="1"/>
    <row r="196" s="75" customFormat="1"/>
    <row r="197" s="75" customFormat="1"/>
    <row r="198" s="75" customFormat="1"/>
    <row r="199" s="75" customFormat="1"/>
    <row r="200" s="75" customFormat="1"/>
    <row r="201" s="75" customFormat="1"/>
    <row r="202" s="75" customFormat="1"/>
    <row r="203" s="75" customFormat="1"/>
    <row r="204" s="75" customFormat="1"/>
    <row r="205" s="75" customFormat="1"/>
    <row r="206" s="75" customFormat="1"/>
    <row r="207" s="75" customFormat="1"/>
    <row r="208" s="75" customFormat="1"/>
    <row r="209" s="75" customFormat="1"/>
    <row r="210" s="75" customFormat="1"/>
    <row r="211" s="75" customFormat="1"/>
    <row r="212" s="75" customFormat="1"/>
    <row r="213" s="75" customFormat="1"/>
    <row r="214" s="75" customFormat="1"/>
    <row r="215" s="75" customFormat="1"/>
    <row r="216" s="75" customFormat="1"/>
    <row r="217" s="75" customFormat="1"/>
    <row r="218" s="75" customFormat="1"/>
    <row r="219" s="75" customFormat="1"/>
    <row r="220" s="75" customFormat="1"/>
    <row r="221" s="75" customFormat="1"/>
    <row r="222" s="75" customFormat="1"/>
    <row r="223" s="75" customFormat="1"/>
  </sheetData>
  <sheetProtection algorithmName="SHA-512" hashValue="qHbOc3fxVdmNevEEiPBEO9zFO9GE2d7Bd0SUKl4s2UNOUcoVYpugDVepwrNKzHUThwmdtaa9AASSd8eWef/JGQ==" saltValue="hnZNwxxRWxz+Z9lMvX4X4A=="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125"/>
  <sheetViews>
    <sheetView workbookViewId="0">
      <selection activeCell="F8" sqref="F8"/>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8" width="9.140625" style="75"/>
    <col min="9" max="9" width="35.7109375" style="75" customWidth="1"/>
    <col min="10" max="10" width="4.140625" style="75" customWidth="1"/>
    <col min="11" max="60" width="9.140625" style="75"/>
  </cols>
  <sheetData>
    <row r="1" spans="1:60" s="107" customFormat="1" ht="16.5" thickBot="1">
      <c r="A1" s="1170" t="s">
        <v>88</v>
      </c>
      <c r="B1" s="655"/>
      <c r="C1" s="655"/>
      <c r="D1" s="1270" t="s">
        <v>37</v>
      </c>
      <c r="E1" s="734"/>
      <c r="F1" s="1052"/>
      <c r="G1" s="171" t="str">
        <f>+'2Př'!I1</f>
        <v/>
      </c>
      <c r="H1" s="75"/>
      <c r="I1" s="106"/>
      <c r="J1" s="106"/>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60" ht="24" customHeight="1" thickBot="1">
      <c r="A2" s="1169" t="s">
        <v>3947</v>
      </c>
      <c r="B2" s="1169"/>
      <c r="C2" s="1169"/>
      <c r="D2" s="1169"/>
      <c r="E2" s="1169"/>
      <c r="F2" s="1169"/>
      <c r="G2" s="115"/>
      <c r="I2" s="624" t="s">
        <v>3894</v>
      </c>
      <c r="J2" s="625"/>
    </row>
    <row r="3" spans="1:60" ht="36" customHeight="1">
      <c r="A3" s="1160" t="s">
        <v>162</v>
      </c>
      <c r="B3" s="682"/>
      <c r="C3" s="682"/>
      <c r="D3" s="682"/>
      <c r="E3" s="682"/>
      <c r="F3" s="682"/>
      <c r="G3" s="682"/>
    </row>
    <row r="4" spans="1:60" s="107" customFormat="1" ht="24" customHeight="1">
      <c r="A4" s="1316" t="s">
        <v>3498</v>
      </c>
      <c r="B4" s="1257"/>
      <c r="C4" s="1257"/>
      <c r="D4" s="1257"/>
      <c r="E4" s="1257"/>
      <c r="F4" s="1257"/>
      <c r="G4" s="1257"/>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24" customHeight="1" thickBot="1">
      <c r="A5" s="1300" t="s">
        <v>3789</v>
      </c>
      <c r="B5" s="1135"/>
      <c r="C5" s="1135"/>
      <c r="D5" s="1135"/>
      <c r="E5" s="1135"/>
      <c r="F5" s="1135"/>
      <c r="G5" s="1135"/>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10"/>
      <c r="B6" s="695"/>
      <c r="C6" s="695"/>
      <c r="D6" s="695"/>
      <c r="E6" s="695"/>
      <c r="F6" s="845" t="s">
        <v>249</v>
      </c>
      <c r="G6" s="1313"/>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15" customHeight="1">
      <c r="A7" s="1311"/>
      <c r="B7" s="1312"/>
      <c r="C7" s="1312"/>
      <c r="D7" s="1312"/>
      <c r="E7" s="1312"/>
      <c r="F7" s="535" t="s">
        <v>142</v>
      </c>
      <c r="G7" s="534" t="s">
        <v>150</v>
      </c>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24" customHeight="1">
      <c r="A8" s="42">
        <v>311</v>
      </c>
      <c r="B8" s="1301" t="s">
        <v>3790</v>
      </c>
      <c r="C8" s="1301"/>
      <c r="D8" s="1301"/>
      <c r="E8" s="1302"/>
      <c r="F8" s="536">
        <f>+IF(EXACT(J2,"X"),'DAP2'!E7-'DAP2'!E8,0)</f>
        <v>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4" customHeight="1">
      <c r="A9" s="42">
        <v>312</v>
      </c>
      <c r="B9" s="1301" t="s">
        <v>3791</v>
      </c>
      <c r="C9" s="1301"/>
      <c r="D9" s="1301"/>
      <c r="E9" s="1302"/>
      <c r="F9" s="536">
        <f>+IF(EXACT(J2,"X"),+'DAP2'!E11+'DAP2'!E12+'DAP2'!E13+'DAP2'!E14,0)</f>
        <v>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4" customHeight="1">
      <c r="A10" s="42">
        <v>313</v>
      </c>
      <c r="B10" s="1301" t="s">
        <v>3792</v>
      </c>
      <c r="C10" s="1301"/>
      <c r="D10" s="1301"/>
      <c r="E10" s="1302"/>
      <c r="F10" s="537">
        <f>+F8+MAX(F9,0)</f>
        <v>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33.950000000000003" customHeight="1">
      <c r="A11" s="42">
        <v>314</v>
      </c>
      <c r="B11" s="1301" t="s">
        <v>3797</v>
      </c>
      <c r="C11" s="1301"/>
      <c r="D11" s="1301"/>
      <c r="E11" s="1302"/>
      <c r="F11" s="537">
        <f>IF(F10=0,0,FLOOR(+F10-'DAP2'!E18-'DAP2'!F31,100))</f>
        <v>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4" customHeight="1" thickBot="1">
      <c r="A12" s="42">
        <v>315</v>
      </c>
      <c r="B12" s="1301" t="s">
        <v>3793</v>
      </c>
      <c r="C12" s="1301"/>
      <c r="D12" s="1301"/>
      <c r="E12" s="1302"/>
      <c r="F12" s="538">
        <f>ROUND(IF(F11=0,0,+'DAP2'!F34/'DAP2'!F33),4)</f>
        <v>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24" customHeight="1" thickBot="1">
      <c r="A13" s="82">
        <v>316</v>
      </c>
      <c r="B13" s="1314" t="s">
        <v>3794</v>
      </c>
      <c r="C13" s="1314"/>
      <c r="D13" s="1314"/>
      <c r="E13" s="1315"/>
      <c r="F13" s="275">
        <f>+F11*F12</f>
        <v>0</v>
      </c>
      <c r="G13" s="8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15" customHeight="1">
      <c r="A14" s="1300"/>
      <c r="B14" s="1135"/>
      <c r="C14" s="1135"/>
      <c r="D14" s="1135"/>
      <c r="E14" s="1135"/>
      <c r="F14" s="1135"/>
      <c r="G14" s="1135"/>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60" ht="24" customHeight="1">
      <c r="A15" s="1300" t="s">
        <v>3788</v>
      </c>
      <c r="B15" s="1135"/>
      <c r="C15" s="1135"/>
      <c r="D15" s="1135"/>
      <c r="E15" s="1135"/>
      <c r="F15" s="1135"/>
      <c r="G15" s="1135"/>
    </row>
    <row r="16" spans="1:60" ht="36" customHeight="1">
      <c r="A16" s="1306" t="s">
        <v>3499</v>
      </c>
      <c r="B16" s="697"/>
      <c r="C16" s="697"/>
      <c r="D16" s="697"/>
      <c r="E16" s="697"/>
      <c r="F16" s="697"/>
      <c r="G16" s="697"/>
    </row>
    <row r="17" spans="1:60" ht="15" customHeight="1">
      <c r="A17" s="1306" t="s">
        <v>241</v>
      </c>
      <c r="B17" s="1052"/>
      <c r="C17" s="143"/>
      <c r="D17" s="1307"/>
      <c r="E17" s="697"/>
      <c r="F17" s="697"/>
      <c r="G17" s="697"/>
    </row>
    <row r="18" spans="1:60" ht="8.1" customHeight="1" thickBot="1">
      <c r="A18" s="1308"/>
      <c r="B18" s="1309"/>
      <c r="C18" s="1309"/>
      <c r="D18" s="1309"/>
      <c r="E18" s="1309"/>
      <c r="F18" s="1309"/>
      <c r="G18" s="1309"/>
    </row>
    <row r="19" spans="1:60" s="107" customFormat="1" ht="15" customHeight="1">
      <c r="A19" s="1303"/>
      <c r="B19" s="1304"/>
      <c r="C19" s="1304"/>
      <c r="D19" s="1304"/>
      <c r="E19" s="1305"/>
      <c r="F19" s="533" t="s">
        <v>142</v>
      </c>
      <c r="G19" s="534" t="s">
        <v>150</v>
      </c>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60" ht="24" customHeight="1">
      <c r="A20" s="42">
        <v>321</v>
      </c>
      <c r="B20" s="1317" t="s">
        <v>242</v>
      </c>
      <c r="C20" s="1317"/>
      <c r="D20" s="1317"/>
      <c r="E20" s="1318"/>
      <c r="F20" s="109">
        <v>0</v>
      </c>
      <c r="G20" s="67"/>
    </row>
    <row r="21" spans="1:60" ht="24" customHeight="1">
      <c r="A21" s="42">
        <v>322</v>
      </c>
      <c r="B21" s="1317" t="s">
        <v>243</v>
      </c>
      <c r="C21" s="1317"/>
      <c r="D21" s="1317"/>
      <c r="E21" s="1318"/>
      <c r="F21" s="109">
        <v>0</v>
      </c>
      <c r="G21" s="67"/>
    </row>
    <row r="22" spans="1:60" ht="24" customHeight="1">
      <c r="A22" s="42">
        <v>323</v>
      </c>
      <c r="B22" s="1317" t="s">
        <v>106</v>
      </c>
      <c r="C22" s="1317"/>
      <c r="D22" s="1317"/>
      <c r="E22" s="1318"/>
      <c r="F22" s="109">
        <v>0</v>
      </c>
      <c r="G22" s="67"/>
    </row>
    <row r="23" spans="1:60" ht="24" customHeight="1">
      <c r="A23" s="42">
        <v>324</v>
      </c>
      <c r="B23" s="1317" t="s">
        <v>3885</v>
      </c>
      <c r="C23" s="1317"/>
      <c r="D23" s="1317"/>
      <c r="E23" s="1318"/>
      <c r="F23" s="263">
        <f>ROUND(+IF(+IF(IF('DAP2'!E16=0,0,(F20-F21)/'DAP2'!E16)&lt;0,0,IF('DAP2'!E16=0,0,(F20-F21)/'DAP2'!E16))&gt;1,1,+IF(IF('DAP2'!E16=0,0,(F20-F21)/'DAP2'!E16)&lt;0,0,IF('DAP2'!E16=0,0,(F20-F21)/'DAP2'!E16))),4)</f>
        <v>0</v>
      </c>
      <c r="G23" s="67"/>
    </row>
    <row r="24" spans="1:60" ht="24" customHeight="1">
      <c r="A24" s="42">
        <v>325</v>
      </c>
      <c r="B24" s="1317" t="s">
        <v>3795</v>
      </c>
      <c r="C24" s="1317"/>
      <c r="D24" s="1317"/>
      <c r="E24" s="1318"/>
      <c r="F24" s="273">
        <f>ROUND((IF(F13=0,+'DAP2'!F34,F13))*'3Př'!F23,2)</f>
        <v>0</v>
      </c>
      <c r="G24" s="67"/>
    </row>
    <row r="25" spans="1:60" ht="24" customHeight="1" thickBot="1">
      <c r="A25" s="44">
        <v>326</v>
      </c>
      <c r="B25" s="1321" t="s">
        <v>137</v>
      </c>
      <c r="C25" s="1321"/>
      <c r="D25" s="1321"/>
      <c r="E25" s="1322"/>
      <c r="F25" s="274">
        <f>+MIN(F22,F24)</f>
        <v>0</v>
      </c>
      <c r="G25" s="86"/>
    </row>
    <row r="26" spans="1:60" ht="24" customHeight="1" thickBot="1">
      <c r="A26" s="82">
        <v>327</v>
      </c>
      <c r="B26" s="1314" t="s">
        <v>138</v>
      </c>
      <c r="C26" s="1314"/>
      <c r="D26" s="1314"/>
      <c r="E26" s="1315"/>
      <c r="F26" s="275">
        <f>+F22-F25</f>
        <v>0</v>
      </c>
      <c r="G26" s="87"/>
    </row>
    <row r="27" spans="1:60" ht="24" customHeight="1" thickBot="1">
      <c r="A27" s="82">
        <v>328</v>
      </c>
      <c r="B27" s="1314" t="s">
        <v>3500</v>
      </c>
      <c r="C27" s="1314"/>
      <c r="D27" s="1314"/>
      <c r="E27" s="1315"/>
      <c r="F27" s="276">
        <f>+F25+'3Př_a'!F17</f>
        <v>0</v>
      </c>
      <c r="G27" s="87"/>
    </row>
    <row r="28" spans="1:60" ht="24" customHeight="1" thickBot="1">
      <c r="A28" s="82">
        <v>329</v>
      </c>
      <c r="B28" s="1314" t="s">
        <v>3501</v>
      </c>
      <c r="C28" s="1314"/>
      <c r="D28" s="1314"/>
      <c r="E28" s="1315"/>
      <c r="F28" s="276">
        <f>+F26+'3Př_a'!F18</f>
        <v>0</v>
      </c>
      <c r="G28" s="87"/>
    </row>
    <row r="29" spans="1:60" ht="12" customHeight="1" thickBot="1">
      <c r="A29" s="1306"/>
      <c r="B29" s="697"/>
      <c r="C29" s="697"/>
      <c r="D29" s="697"/>
      <c r="E29" s="697"/>
      <c r="F29" s="697"/>
      <c r="G29" s="697"/>
    </row>
    <row r="30" spans="1:60" ht="24" customHeight="1" thickBot="1">
      <c r="A30" s="82">
        <v>330</v>
      </c>
      <c r="B30" s="1325" t="s">
        <v>3796</v>
      </c>
      <c r="C30" s="1314"/>
      <c r="D30" s="1314"/>
      <c r="E30" s="1315"/>
      <c r="F30" s="275">
        <f>+IF(F20+F8+F9=0,0,IF(OR(F20&gt;0,F13=0),'DAP2'!F34-F27,F13-F27))</f>
        <v>0</v>
      </c>
      <c r="G30" s="87"/>
    </row>
    <row r="31" spans="1:60" ht="50.1" customHeight="1">
      <c r="A31" s="870"/>
      <c r="B31" s="695"/>
      <c r="C31" s="695"/>
      <c r="D31" s="695"/>
      <c r="E31" s="695"/>
      <c r="F31" s="695"/>
      <c r="G31" s="695"/>
    </row>
    <row r="32" spans="1:60" ht="15.95" customHeight="1">
      <c r="A32" s="1324" t="str">
        <f>+'DAP1'!A46</f>
        <v>Formulář zpracovala ASPEKT HM, daňová, účetní a auditorská kancelář, www.danovapriznani.cz, business.center.cz</v>
      </c>
      <c r="B32" s="1324"/>
      <c r="C32" s="1324"/>
      <c r="D32" s="1324"/>
      <c r="E32" s="1324"/>
      <c r="F32" s="1324"/>
      <c r="G32" s="1324"/>
    </row>
    <row r="33" spans="1:60" s="164" customFormat="1" ht="12" customHeight="1">
      <c r="A33" s="1323" t="s">
        <v>3948</v>
      </c>
      <c r="B33" s="1323"/>
      <c r="C33" s="1323"/>
      <c r="D33" s="1323"/>
      <c r="E33" s="1323"/>
      <c r="F33" s="1323"/>
      <c r="G33" s="1323"/>
      <c r="H33" s="163"/>
      <c r="I33" s="623"/>
      <c r="J33" s="62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3"/>
      <c r="BC33" s="163"/>
      <c r="BD33" s="163"/>
      <c r="BE33" s="163"/>
      <c r="BF33" s="163"/>
      <c r="BG33" s="163"/>
      <c r="BH33" s="163"/>
    </row>
    <row r="34" spans="1:60">
      <c r="A34" s="1319" t="s">
        <v>287</v>
      </c>
      <c r="B34" s="1319"/>
      <c r="C34" s="1319"/>
      <c r="D34" s="1319"/>
      <c r="E34" s="1320"/>
      <c r="F34" s="1320"/>
      <c r="G34" s="1320"/>
    </row>
    <row r="35" spans="1:60">
      <c r="A35" s="75"/>
      <c r="B35" s="75"/>
      <c r="C35" s="75"/>
      <c r="D35" s="75"/>
      <c r="E35" s="75"/>
      <c r="F35" s="75"/>
      <c r="G35" s="75"/>
    </row>
    <row r="36" spans="1:60">
      <c r="A36" s="75"/>
      <c r="B36" s="75"/>
      <c r="C36" s="75"/>
      <c r="D36" s="75"/>
      <c r="E36" s="75"/>
      <c r="F36" s="75"/>
      <c r="G36" s="75"/>
    </row>
    <row r="37" spans="1:60">
      <c r="A37" s="75"/>
      <c r="B37" s="75"/>
      <c r="C37" s="75"/>
      <c r="D37" s="75"/>
      <c r="E37" s="75"/>
      <c r="F37" s="75"/>
      <c r="G37" s="75"/>
    </row>
    <row r="38" spans="1:60">
      <c r="A38" s="75"/>
      <c r="B38" s="75"/>
      <c r="C38" s="75"/>
      <c r="D38" s="75"/>
      <c r="E38" s="75"/>
      <c r="F38" s="75"/>
      <c r="G38" s="75"/>
    </row>
    <row r="39" spans="1:60">
      <c r="A39" s="75"/>
      <c r="B39" s="75"/>
      <c r="C39" s="75"/>
      <c r="D39" s="75"/>
      <c r="E39" s="75"/>
      <c r="F39" s="75"/>
      <c r="G39" s="75"/>
    </row>
    <row r="40" spans="1:60">
      <c r="A40" s="75"/>
      <c r="B40" s="75"/>
      <c r="C40" s="75"/>
      <c r="D40" s="75"/>
      <c r="E40" s="75"/>
      <c r="F40" s="75"/>
      <c r="G40" s="75"/>
    </row>
    <row r="41" spans="1:60">
      <c r="A41" s="75"/>
      <c r="B41" s="75"/>
      <c r="C41" s="75"/>
      <c r="D41" s="75"/>
      <c r="E41" s="75"/>
      <c r="F41" s="75"/>
      <c r="G41" s="75"/>
    </row>
    <row r="42" spans="1:60">
      <c r="A42" s="75"/>
      <c r="B42" s="75"/>
      <c r="C42" s="75"/>
      <c r="D42" s="75"/>
      <c r="E42" s="75"/>
      <c r="F42" s="75"/>
      <c r="G42" s="75"/>
    </row>
    <row r="43" spans="1:60">
      <c r="A43" s="75"/>
      <c r="B43" s="75"/>
      <c r="C43" s="75"/>
      <c r="D43" s="75"/>
      <c r="E43" s="75"/>
      <c r="F43" s="75"/>
      <c r="G43" s="75"/>
    </row>
    <row r="44" spans="1:60">
      <c r="A44" s="75"/>
      <c r="B44" s="75"/>
      <c r="C44" s="75"/>
      <c r="D44" s="75"/>
      <c r="E44" s="75"/>
      <c r="F44" s="75"/>
      <c r="G44" s="75"/>
    </row>
    <row r="45" spans="1:60">
      <c r="A45" s="75"/>
      <c r="B45" s="75"/>
      <c r="C45" s="75"/>
      <c r="D45" s="75"/>
      <c r="E45" s="75"/>
      <c r="F45" s="75"/>
      <c r="G45" s="75"/>
    </row>
    <row r="46" spans="1:60">
      <c r="A46" s="75"/>
      <c r="B46" s="75"/>
      <c r="C46" s="75"/>
      <c r="D46" s="75"/>
      <c r="E46" s="75"/>
      <c r="F46" s="75"/>
      <c r="G46" s="75"/>
    </row>
    <row r="47" spans="1:60">
      <c r="A47" s="75"/>
      <c r="B47" s="75"/>
      <c r="C47" s="75"/>
      <c r="D47" s="75"/>
      <c r="E47" s="75"/>
      <c r="F47" s="75"/>
      <c r="G47" s="75"/>
    </row>
    <row r="48" spans="1:60">
      <c r="A48" s="75"/>
      <c r="B48" s="75"/>
      <c r="C48" s="75"/>
      <c r="D48" s="75"/>
      <c r="E48" s="75"/>
      <c r="F48" s="75"/>
      <c r="G48" s="75"/>
    </row>
    <row r="49" spans="1:7">
      <c r="A49" s="75"/>
      <c r="B49" s="75"/>
      <c r="C49" s="75"/>
      <c r="D49" s="75"/>
      <c r="E49" s="75"/>
      <c r="F49" s="75"/>
      <c r="G49" s="75"/>
    </row>
    <row r="50" spans="1:7">
      <c r="A50" s="75"/>
      <c r="B50" s="75"/>
      <c r="C50" s="75"/>
      <c r="D50" s="75"/>
      <c r="E50" s="75"/>
      <c r="F50" s="75"/>
      <c r="G50" s="75"/>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pans="1:7">
      <c r="A65" s="75"/>
      <c r="B65" s="75"/>
      <c r="C65" s="75"/>
      <c r="D65" s="75"/>
      <c r="E65" s="75"/>
      <c r="F65" s="75"/>
      <c r="G65" s="75"/>
    </row>
    <row r="66" spans="1:7">
      <c r="A66" s="75"/>
      <c r="B66" s="75"/>
      <c r="C66" s="75"/>
      <c r="D66" s="75"/>
      <c r="E66" s="75"/>
      <c r="F66" s="75"/>
      <c r="G66" s="75"/>
    </row>
    <row r="67" spans="1:7">
      <c r="A67" s="75"/>
      <c r="B67" s="75"/>
      <c r="C67" s="75"/>
      <c r="D67" s="75"/>
      <c r="E67" s="75"/>
      <c r="F67" s="75"/>
      <c r="G67" s="75"/>
    </row>
    <row r="68" spans="1:7">
      <c r="A68" s="75"/>
      <c r="B68" s="75"/>
      <c r="C68" s="75"/>
      <c r="D68" s="75"/>
      <c r="E68" s="75"/>
      <c r="F68" s="75"/>
      <c r="G68" s="75"/>
    </row>
    <row r="69" spans="1:7">
      <c r="A69" s="75"/>
      <c r="B69" s="75"/>
      <c r="C69" s="75"/>
      <c r="D69" s="75"/>
      <c r="E69" s="75"/>
      <c r="F69" s="75"/>
      <c r="G69" s="75"/>
    </row>
    <row r="70" spans="1:7">
      <c r="A70" s="75"/>
      <c r="B70" s="75"/>
      <c r="C70" s="75"/>
      <c r="D70" s="75"/>
      <c r="E70" s="75"/>
      <c r="F70" s="75"/>
      <c r="G70" s="75"/>
    </row>
    <row r="71" spans="1:7">
      <c r="A71" s="75"/>
      <c r="B71" s="75"/>
      <c r="C71" s="75"/>
      <c r="D71" s="75"/>
      <c r="E71" s="75"/>
      <c r="F71" s="75"/>
      <c r="G71" s="75"/>
    </row>
    <row r="72" spans="1:7">
      <c r="A72" s="75"/>
      <c r="B72" s="75"/>
      <c r="C72" s="75"/>
      <c r="D72" s="75"/>
      <c r="E72" s="75"/>
      <c r="F72" s="75"/>
      <c r="G72" s="75"/>
    </row>
    <row r="73" spans="1:7">
      <c r="A73" s="75"/>
      <c r="B73" s="75"/>
      <c r="C73" s="75"/>
      <c r="D73" s="75"/>
      <c r="E73" s="75"/>
      <c r="F73" s="75"/>
      <c r="G73" s="75"/>
    </row>
    <row r="74" spans="1:7" s="75" customFormat="1"/>
    <row r="75" spans="1:7" s="75" customFormat="1"/>
    <row r="76" spans="1:7" s="75" customFormat="1"/>
    <row r="77" spans="1:7" s="75" customFormat="1"/>
    <row r="78" spans="1:7" s="75" customFormat="1"/>
    <row r="79" spans="1:7" s="75" customFormat="1"/>
    <row r="80" spans="1:7" s="75" customFormat="1"/>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sheetData>
  <sheetProtection algorithmName="SHA-512" hashValue="bN6FQ6+ZqVoi2vC/Sq0+EEEoqk5Dm+HfnzcmxhZEqmSUh0ywQTar3TbzgYYuzQ6/xXB0WiUZAYFTy8Ibvyuk0g==" saltValue="xlZoswxWQJ6EMDqESXfAqA==" spinCount="100000" sheet="1" objects="1" scenarios="1"/>
  <mergeCells count="36">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1:C1"/>
    <mergeCell ref="A2:F2"/>
    <mergeCell ref="D1:F1"/>
    <mergeCell ref="A3:G3"/>
    <mergeCell ref="A4:G4"/>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A6C92-080B-4385-868B-FE615CD5EFAA}">
  <sheetPr codeName="List14">
    <tabColor rgb="FFFFCCFF"/>
    <pageSetUpPr fitToPage="1"/>
  </sheetPr>
  <dimension ref="A1:BH116"/>
  <sheetViews>
    <sheetView workbookViewId="0">
      <selection activeCell="F7" sqref="F7"/>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5"/>
  </cols>
  <sheetData>
    <row r="1" spans="1:60" s="107" customFormat="1" ht="16.5" thickBot="1">
      <c r="A1" s="1170" t="s">
        <v>3803</v>
      </c>
      <c r="B1" s="655"/>
      <c r="C1" s="655"/>
      <c r="D1" s="1270" t="s">
        <v>37</v>
      </c>
      <c r="E1" s="734"/>
      <c r="F1" s="1052"/>
      <c r="G1" s="171" t="str">
        <f>+'2Př'!I1</f>
        <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60" ht="24" customHeight="1">
      <c r="A2" s="1329" t="s">
        <v>3947</v>
      </c>
      <c r="B2" s="1329"/>
      <c r="C2" s="1329"/>
      <c r="D2" s="1329"/>
      <c r="E2" s="1329"/>
      <c r="F2" s="1329"/>
      <c r="G2" s="115"/>
    </row>
    <row r="3" spans="1:60" ht="36" customHeight="1">
      <c r="A3" s="1145" t="s">
        <v>162</v>
      </c>
      <c r="B3" s="1330"/>
      <c r="C3" s="1330"/>
      <c r="D3" s="1330"/>
      <c r="E3" s="1330"/>
      <c r="F3" s="1330"/>
      <c r="G3" s="1330"/>
    </row>
    <row r="4" spans="1:60" s="107" customFormat="1" ht="24" customHeight="1" thickBot="1">
      <c r="A4" s="1316" t="s">
        <v>3949</v>
      </c>
      <c r="B4" s="1257"/>
      <c r="C4" s="1257"/>
      <c r="D4" s="1257"/>
      <c r="E4" s="1257"/>
      <c r="F4" s="1257"/>
      <c r="G4" s="1257"/>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s="107" customFormat="1" ht="15" customHeight="1">
      <c r="A5" s="1310"/>
      <c r="B5" s="695"/>
      <c r="C5" s="695"/>
      <c r="D5" s="695"/>
      <c r="E5" s="695"/>
      <c r="F5" s="845" t="s">
        <v>249</v>
      </c>
      <c r="G5" s="1313"/>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row>
    <row r="6" spans="1:60" s="107" customFormat="1" ht="15" customHeight="1">
      <c r="A6" s="1311"/>
      <c r="B6" s="1312"/>
      <c r="C6" s="1312"/>
      <c r="D6" s="1312"/>
      <c r="E6" s="1312"/>
      <c r="F6" s="535" t="s">
        <v>142</v>
      </c>
      <c r="G6" s="534" t="s">
        <v>150</v>
      </c>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row>
    <row r="7" spans="1:60" s="107" customFormat="1" ht="38.1" customHeight="1">
      <c r="A7" s="42">
        <v>401</v>
      </c>
      <c r="B7" s="1326" t="s">
        <v>3917</v>
      </c>
      <c r="C7" s="1326"/>
      <c r="D7" s="1326"/>
      <c r="E7" s="1327"/>
      <c r="F7" s="630">
        <v>0</v>
      </c>
      <c r="G7" s="534"/>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row>
    <row r="8" spans="1:60" s="107" customFormat="1" ht="48" customHeight="1">
      <c r="A8" s="42" t="s">
        <v>3918</v>
      </c>
      <c r="B8" s="1326" t="s">
        <v>3804</v>
      </c>
      <c r="C8" s="1326"/>
      <c r="D8" s="1326"/>
      <c r="E8" s="1327"/>
      <c r="F8" s="630">
        <v>0</v>
      </c>
      <c r="G8" s="67"/>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row>
    <row r="9" spans="1:60" s="107" customFormat="1" ht="27.95" customHeight="1">
      <c r="A9" s="42">
        <v>402</v>
      </c>
      <c r="B9" s="1301" t="s">
        <v>3805</v>
      </c>
      <c r="C9" s="1301"/>
      <c r="D9" s="1301"/>
      <c r="E9" s="1302"/>
      <c r="F9" s="536">
        <v>0</v>
      </c>
      <c r="G9" s="67"/>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row>
    <row r="10" spans="1:60" s="107" customFormat="1" ht="27.95" customHeight="1">
      <c r="A10" s="42">
        <v>403</v>
      </c>
      <c r="B10" s="1301" t="s">
        <v>3806</v>
      </c>
      <c r="C10" s="1301"/>
      <c r="D10" s="1301"/>
      <c r="E10" s="1302"/>
      <c r="F10" s="536">
        <v>0</v>
      </c>
      <c r="G10" s="67"/>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row>
    <row r="11" spans="1:60" s="107" customFormat="1" ht="27.95" customHeight="1">
      <c r="A11" s="42">
        <v>404</v>
      </c>
      <c r="B11" s="1301" t="s">
        <v>3807</v>
      </c>
      <c r="C11" s="1301"/>
      <c r="D11" s="1301"/>
      <c r="E11" s="1302"/>
      <c r="F11" s="536">
        <v>0</v>
      </c>
      <c r="G11" s="67"/>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row>
    <row r="12" spans="1:60" s="107" customFormat="1" ht="27.95" customHeight="1">
      <c r="A12" s="42">
        <v>405</v>
      </c>
      <c r="B12" s="1301" t="s">
        <v>3808</v>
      </c>
      <c r="C12" s="1301"/>
      <c r="D12" s="1301"/>
      <c r="E12" s="1302"/>
      <c r="F12" s="536">
        <v>0</v>
      </c>
      <c r="G12" s="67"/>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row>
    <row r="13" spans="1:60" s="107" customFormat="1" ht="38.1" customHeight="1">
      <c r="A13" s="42">
        <v>406</v>
      </c>
      <c r="B13" s="1326" t="s">
        <v>3919</v>
      </c>
      <c r="C13" s="1326"/>
      <c r="D13" s="1326"/>
      <c r="E13" s="1327"/>
      <c r="F13" s="630">
        <f>+F7+F8</f>
        <v>0</v>
      </c>
      <c r="G13" s="67"/>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row>
    <row r="14" spans="1:60" s="107" customFormat="1" ht="27.95" customHeight="1">
      <c r="A14" s="42">
        <v>407</v>
      </c>
      <c r="B14" s="1301" t="s">
        <v>3809</v>
      </c>
      <c r="C14" s="1301"/>
      <c r="D14" s="1301"/>
      <c r="E14" s="1302"/>
      <c r="F14" s="537">
        <f>+F9-F10</f>
        <v>0</v>
      </c>
      <c r="G14" s="67"/>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row>
    <row r="15" spans="1:60" s="107" customFormat="1" ht="27.95" customHeight="1">
      <c r="A15" s="42">
        <v>408</v>
      </c>
      <c r="B15" s="1301" t="s">
        <v>3810</v>
      </c>
      <c r="C15" s="1301"/>
      <c r="D15" s="1301"/>
      <c r="E15" s="1302"/>
      <c r="F15" s="537">
        <f>+F11-F12</f>
        <v>0</v>
      </c>
      <c r="G15" s="67"/>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row>
    <row r="16" spans="1:60" s="107" customFormat="1" ht="27.95" customHeight="1">
      <c r="A16" s="42">
        <v>409</v>
      </c>
      <c r="B16" s="1301" t="s">
        <v>3886</v>
      </c>
      <c r="C16" s="1301"/>
      <c r="D16" s="1301"/>
      <c r="E16" s="1302"/>
      <c r="F16" s="537">
        <f>+FLOOR(F13+F14+F15,100)</f>
        <v>0</v>
      </c>
      <c r="G16" s="67"/>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row>
    <row r="17" spans="1:60" s="107" customFormat="1" ht="27.95" customHeight="1">
      <c r="A17" s="42">
        <v>410</v>
      </c>
      <c r="B17" s="1328" t="s">
        <v>3881</v>
      </c>
      <c r="C17" s="1301"/>
      <c r="D17" s="1301"/>
      <c r="E17" s="1302"/>
      <c r="F17" s="537">
        <f>+F16*0.15</f>
        <v>0</v>
      </c>
      <c r="G17" s="67"/>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row>
    <row r="18" spans="1:60" s="107" customFormat="1" ht="27.95" customHeight="1">
      <c r="A18" s="42">
        <v>411</v>
      </c>
      <c r="B18" s="1301" t="s">
        <v>3811</v>
      </c>
      <c r="C18" s="1301"/>
      <c r="D18" s="1301"/>
      <c r="E18" s="1302"/>
      <c r="F18" s="536">
        <v>0</v>
      </c>
      <c r="G18" s="67"/>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row>
    <row r="19" spans="1:60" s="107" customFormat="1" ht="27.95" customHeight="1">
      <c r="A19" s="42">
        <v>412</v>
      </c>
      <c r="B19" s="1301" t="s">
        <v>3882</v>
      </c>
      <c r="C19" s="1301"/>
      <c r="D19" s="1301"/>
      <c r="E19" s="1302"/>
      <c r="F19" s="536">
        <v>0</v>
      </c>
      <c r="G19" s="67"/>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row>
    <row r="20" spans="1:60" s="107" customFormat="1" ht="27.95" customHeight="1">
      <c r="A20" s="42">
        <v>413</v>
      </c>
      <c r="B20" s="1301" t="s">
        <v>3883</v>
      </c>
      <c r="C20" s="1301"/>
      <c r="D20" s="1301"/>
      <c r="E20" s="1302"/>
      <c r="F20" s="537">
        <f>+ROUND(MIN(F19,0.15*F18),0)</f>
        <v>0</v>
      </c>
      <c r="G20" s="67"/>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row>
    <row r="21" spans="1:60" s="107" customFormat="1" ht="27.95" customHeight="1" thickBot="1">
      <c r="A21" s="42">
        <v>414</v>
      </c>
      <c r="B21" s="1301" t="s">
        <v>3884</v>
      </c>
      <c r="C21" s="1301"/>
      <c r="D21" s="1301"/>
      <c r="E21" s="1302"/>
      <c r="F21" s="537">
        <f>+F17-F20</f>
        <v>0</v>
      </c>
      <c r="G21" s="67"/>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row>
    <row r="22" spans="1:60" ht="170.1" customHeight="1">
      <c r="A22" s="870"/>
      <c r="B22" s="695"/>
      <c r="C22" s="695"/>
      <c r="D22" s="695"/>
      <c r="E22" s="695"/>
      <c r="F22" s="695"/>
      <c r="G22" s="695"/>
    </row>
    <row r="23" spans="1:60" ht="15.95" customHeight="1">
      <c r="A23" s="1324" t="str">
        <f>+'DAP1'!A46</f>
        <v>Formulář zpracovala ASPEKT HM, daňová, účetní a auditorská kancelář, www.danovapriznani.cz, business.center.cz</v>
      </c>
      <c r="B23" s="1324"/>
      <c r="C23" s="1324"/>
      <c r="D23" s="1324"/>
      <c r="E23" s="1324"/>
      <c r="F23" s="1324"/>
      <c r="G23" s="1324"/>
    </row>
    <row r="24" spans="1:60" s="164" customFormat="1" ht="12" customHeight="1">
      <c r="A24" s="1323" t="s">
        <v>3950</v>
      </c>
      <c r="B24" s="1323"/>
      <c r="C24" s="1323"/>
      <c r="D24" s="1323"/>
      <c r="E24" s="1323"/>
      <c r="F24" s="1323"/>
      <c r="G24" s="132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row>
    <row r="25" spans="1:60">
      <c r="A25" s="1319" t="s">
        <v>287</v>
      </c>
      <c r="B25" s="1319"/>
      <c r="C25" s="1319"/>
      <c r="D25" s="1319"/>
      <c r="E25" s="1320"/>
      <c r="F25" s="1320"/>
      <c r="G25" s="1320"/>
    </row>
    <row r="26" spans="1:60">
      <c r="A26" s="75"/>
      <c r="B26" s="75"/>
      <c r="C26" s="75"/>
      <c r="D26" s="75"/>
      <c r="E26" s="75"/>
      <c r="F26" s="75"/>
      <c r="G26" s="75"/>
    </row>
    <row r="27" spans="1:60">
      <c r="A27" s="75"/>
      <c r="B27" s="75"/>
      <c r="C27" s="75"/>
      <c r="D27" s="75"/>
      <c r="E27" s="75"/>
      <c r="F27" s="75"/>
      <c r="G27" s="75"/>
    </row>
    <row r="28" spans="1:60">
      <c r="A28" s="75"/>
      <c r="B28" s="75"/>
      <c r="C28" s="75"/>
      <c r="D28" s="75"/>
      <c r="E28" s="75"/>
      <c r="F28" s="75"/>
      <c r="G28" s="75"/>
    </row>
    <row r="29" spans="1:60">
      <c r="A29" s="75"/>
      <c r="B29" s="75"/>
      <c r="C29" s="75"/>
      <c r="D29" s="75"/>
      <c r="E29" s="75"/>
      <c r="F29" s="75"/>
      <c r="G29" s="75"/>
    </row>
    <row r="30" spans="1:60">
      <c r="A30" s="75"/>
      <c r="B30" s="75"/>
      <c r="C30" s="75"/>
      <c r="D30" s="75"/>
      <c r="E30" s="75"/>
      <c r="F30" s="75"/>
      <c r="G30" s="75"/>
    </row>
    <row r="31" spans="1:60">
      <c r="A31" s="75"/>
      <c r="B31" s="75"/>
      <c r="C31" s="75"/>
      <c r="D31" s="75"/>
      <c r="E31" s="75"/>
      <c r="F31" s="75"/>
      <c r="G31" s="75"/>
    </row>
    <row r="32" spans="1:60">
      <c r="A32" s="75"/>
      <c r="B32" s="75"/>
      <c r="C32" s="75"/>
      <c r="D32" s="75"/>
      <c r="E32" s="75"/>
      <c r="F32" s="75"/>
      <c r="G32" s="75"/>
    </row>
    <row r="33" spans="1:7">
      <c r="A33" s="75"/>
      <c r="B33" s="75"/>
      <c r="C33" s="75"/>
      <c r="D33" s="75"/>
      <c r="E33" s="75"/>
      <c r="F33" s="75"/>
      <c r="G33" s="75"/>
    </row>
    <row r="34" spans="1:7">
      <c r="A34" s="75"/>
      <c r="B34" s="75"/>
      <c r="C34" s="75"/>
      <c r="D34" s="75"/>
      <c r="E34" s="75"/>
      <c r="F34" s="75"/>
      <c r="G34" s="75"/>
    </row>
    <row r="35" spans="1:7">
      <c r="A35" s="75"/>
      <c r="B35" s="75"/>
      <c r="C35" s="75"/>
      <c r="D35" s="75"/>
      <c r="E35" s="75"/>
      <c r="F35" s="75"/>
      <c r="G35" s="75"/>
    </row>
    <row r="36" spans="1:7">
      <c r="A36" s="75"/>
      <c r="B36" s="75"/>
      <c r="C36" s="75"/>
      <c r="D36" s="75"/>
      <c r="E36" s="75"/>
      <c r="F36" s="75"/>
      <c r="G36" s="75"/>
    </row>
    <row r="37" spans="1:7">
      <c r="A37" s="75"/>
      <c r="B37" s="75"/>
      <c r="C37" s="75"/>
      <c r="D37" s="75"/>
      <c r="E37" s="75"/>
      <c r="F37" s="75"/>
      <c r="G37" s="75"/>
    </row>
    <row r="38" spans="1:7">
      <c r="A38" s="75"/>
      <c r="B38" s="75"/>
      <c r="C38" s="75"/>
      <c r="D38" s="75"/>
      <c r="E38" s="75"/>
      <c r="F38" s="75"/>
      <c r="G38" s="75"/>
    </row>
    <row r="39" spans="1:7">
      <c r="A39" s="75"/>
      <c r="B39" s="75"/>
      <c r="C39" s="75"/>
      <c r="D39" s="75"/>
      <c r="E39" s="75"/>
      <c r="F39" s="75"/>
      <c r="G39" s="75"/>
    </row>
    <row r="40" spans="1:7">
      <c r="A40" s="75"/>
      <c r="B40" s="75"/>
      <c r="C40" s="75"/>
      <c r="D40" s="75"/>
      <c r="E40" s="75"/>
      <c r="F40" s="75"/>
      <c r="G40" s="75"/>
    </row>
    <row r="41" spans="1:7">
      <c r="A41" s="75"/>
      <c r="B41" s="75"/>
      <c r="C41" s="75"/>
      <c r="D41" s="75"/>
      <c r="E41" s="75"/>
      <c r="F41" s="75"/>
      <c r="G41" s="75"/>
    </row>
    <row r="42" spans="1:7">
      <c r="A42" s="75"/>
      <c r="B42" s="75"/>
      <c r="C42" s="75"/>
      <c r="D42" s="75"/>
      <c r="E42" s="75"/>
      <c r="F42" s="75"/>
      <c r="G42" s="75"/>
    </row>
    <row r="43" spans="1:7">
      <c r="A43" s="75"/>
      <c r="B43" s="75"/>
      <c r="C43" s="75"/>
      <c r="D43" s="75"/>
      <c r="E43" s="75"/>
      <c r="F43" s="75"/>
      <c r="G43" s="75"/>
    </row>
    <row r="44" spans="1:7">
      <c r="A44" s="75"/>
      <c r="B44" s="75"/>
      <c r="C44" s="75"/>
      <c r="D44" s="75"/>
      <c r="E44" s="75"/>
      <c r="F44" s="75"/>
      <c r="G44" s="75"/>
    </row>
    <row r="45" spans="1:7">
      <c r="A45" s="75"/>
      <c r="B45" s="75"/>
      <c r="C45" s="75"/>
      <c r="D45" s="75"/>
      <c r="E45" s="75"/>
      <c r="F45" s="75"/>
      <c r="G45" s="75"/>
    </row>
    <row r="46" spans="1:7">
      <c r="A46" s="75"/>
      <c r="B46" s="75"/>
      <c r="C46" s="75"/>
      <c r="D46" s="75"/>
      <c r="E46" s="75"/>
      <c r="F46" s="75"/>
      <c r="G46" s="75"/>
    </row>
    <row r="47" spans="1:7">
      <c r="A47" s="75"/>
      <c r="B47" s="75"/>
      <c r="C47" s="75"/>
      <c r="D47" s="75"/>
      <c r="E47" s="75"/>
      <c r="F47" s="75"/>
      <c r="G47" s="75"/>
    </row>
    <row r="48" spans="1:7">
      <c r="A48" s="75"/>
      <c r="B48" s="75"/>
      <c r="C48" s="75"/>
      <c r="D48" s="75"/>
      <c r="E48" s="75"/>
      <c r="F48" s="75"/>
      <c r="G48" s="75"/>
    </row>
    <row r="49" spans="1:7">
      <c r="A49" s="75"/>
      <c r="B49" s="75"/>
      <c r="C49" s="75"/>
      <c r="D49" s="75"/>
      <c r="E49" s="75"/>
      <c r="F49" s="75"/>
      <c r="G49" s="75"/>
    </row>
    <row r="50" spans="1:7">
      <c r="A50" s="75"/>
      <c r="B50" s="75"/>
      <c r="C50" s="75"/>
      <c r="D50" s="75"/>
      <c r="E50" s="75"/>
      <c r="F50" s="75"/>
      <c r="G50" s="75"/>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75" customFormat="1"/>
    <row r="66" s="75" customFormat="1"/>
    <row r="67" s="75" customFormat="1"/>
    <row r="68" s="75" customFormat="1"/>
    <row r="69" s="75" customFormat="1"/>
    <row r="70" s="75" customFormat="1"/>
    <row r="71" s="75" customFormat="1"/>
    <row r="72" s="75" customFormat="1"/>
    <row r="73" s="75" customFormat="1"/>
    <row r="74" s="75" customFormat="1"/>
    <row r="75" s="75" customFormat="1"/>
    <row r="76" s="75" customFormat="1"/>
    <row r="77" s="75" customFormat="1"/>
    <row r="78" s="75" customFormat="1"/>
    <row r="79" s="75" customFormat="1"/>
    <row r="80" s="75" customFormat="1"/>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sheetData>
  <sheetProtection algorithmName="SHA-512" hashValue="gizasD9JHUFonTFddgfiljFk6wgXs5ScEA3t3CxnqFBuIlq80mWdzs2dFwEvy5hTC+J3NCbCUSbZ3RR5jgt/aw==" saltValue="5pPmMNfXojsEz0CGBj1OOA==" spinCount="100000" sheet="1" objects="1" scenarios="1"/>
  <mergeCells count="26">
    <mergeCell ref="B11:E11"/>
    <mergeCell ref="A1:C1"/>
    <mergeCell ref="D1:F1"/>
    <mergeCell ref="A2:F2"/>
    <mergeCell ref="A3:G3"/>
    <mergeCell ref="A4:G4"/>
    <mergeCell ref="A5:E6"/>
    <mergeCell ref="F5:G5"/>
    <mergeCell ref="B8:E8"/>
    <mergeCell ref="B9:E9"/>
    <mergeCell ref="B10:E10"/>
    <mergeCell ref="B7:E7"/>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6">
    <tabColor rgb="FFFFCCFF"/>
    <pageSetUpPr fitToPage="1"/>
  </sheetPr>
  <dimension ref="A1:BH114"/>
  <sheetViews>
    <sheetView workbookViewId="0">
      <selection activeCell="A22" sqref="A22:G22"/>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5"/>
  </cols>
  <sheetData>
    <row r="1" spans="1:60" s="107" customFormat="1" ht="16.5" thickBot="1">
      <c r="A1" s="1170"/>
      <c r="B1" s="655"/>
      <c r="C1" s="655"/>
      <c r="D1" s="1270" t="s">
        <v>176</v>
      </c>
      <c r="E1" s="734"/>
      <c r="F1" s="1052"/>
      <c r="G1" s="256">
        <v>1</v>
      </c>
      <c r="H1" s="75"/>
      <c r="I1" s="75"/>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row>
    <row r="2" spans="1:60" ht="24" customHeight="1">
      <c r="A2" s="1169"/>
      <c r="B2" s="1169"/>
      <c r="C2" s="1169"/>
      <c r="D2" s="1169"/>
      <c r="E2" s="1169"/>
      <c r="F2" s="1169"/>
      <c r="G2" s="115"/>
    </row>
    <row r="3" spans="1:60" ht="36" customHeight="1">
      <c r="A3" s="1331" t="s">
        <v>177</v>
      </c>
      <c r="B3" s="1332"/>
      <c r="C3" s="1332"/>
      <c r="D3" s="1332"/>
      <c r="E3" s="1332"/>
      <c r="F3" s="1332"/>
      <c r="G3" s="1332"/>
    </row>
    <row r="4" spans="1:60" s="107" customFormat="1" ht="18" customHeight="1">
      <c r="A4" s="1333" t="s">
        <v>179</v>
      </c>
      <c r="B4" s="1334"/>
      <c r="C4" s="1334"/>
      <c r="D4" s="1334"/>
      <c r="E4" s="1334"/>
      <c r="F4" s="1334"/>
      <c r="G4" s="1334"/>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row>
    <row r="5" spans="1:60" ht="18" customHeight="1">
      <c r="A5" s="1335" t="s">
        <v>3629</v>
      </c>
      <c r="B5" s="1336"/>
      <c r="C5" s="1336"/>
      <c r="D5" s="1336"/>
      <c r="E5" s="1336"/>
      <c r="F5" s="1336"/>
      <c r="G5" s="1336"/>
    </row>
    <row r="6" spans="1:60" ht="18" customHeight="1">
      <c r="A6" s="1337" t="s">
        <v>101</v>
      </c>
      <c r="B6" s="1338"/>
      <c r="C6" s="1338"/>
      <c r="D6" s="1338"/>
      <c r="E6" s="1338"/>
      <c r="F6" s="1338"/>
      <c r="G6" s="1338"/>
    </row>
    <row r="7" spans="1:60" ht="18" customHeight="1">
      <c r="A7" s="1340"/>
      <c r="B7" s="1341"/>
      <c r="C7" s="1341"/>
      <c r="D7" s="1341"/>
      <c r="E7" s="1341"/>
      <c r="F7" s="1341"/>
      <c r="G7" s="1341"/>
    </row>
    <row r="8" spans="1:60" ht="24" customHeight="1">
      <c r="A8" s="1306" t="s">
        <v>3628</v>
      </c>
      <c r="B8" s="1052"/>
      <c r="C8" s="143"/>
      <c r="D8" s="1307"/>
      <c r="E8" s="697"/>
      <c r="F8" s="697"/>
      <c r="G8" s="697"/>
    </row>
    <row r="9" spans="1:60" ht="8.1" customHeight="1" thickBot="1">
      <c r="A9" s="1308"/>
      <c r="B9" s="1309"/>
      <c r="C9" s="1309"/>
      <c r="D9" s="1309"/>
      <c r="E9" s="1309"/>
      <c r="F9" s="1309"/>
      <c r="G9" s="1309"/>
    </row>
    <row r="10" spans="1:60" ht="15" customHeight="1">
      <c r="A10" s="1347"/>
      <c r="B10" s="695"/>
      <c r="C10" s="695"/>
      <c r="D10" s="695"/>
      <c r="E10" s="1348"/>
      <c r="F10" s="1349" t="s">
        <v>249</v>
      </c>
      <c r="G10" s="1350"/>
    </row>
    <row r="11" spans="1:60" ht="15" customHeight="1">
      <c r="A11" s="1311"/>
      <c r="B11" s="780"/>
      <c r="C11" s="780"/>
      <c r="D11" s="780"/>
      <c r="E11" s="781"/>
      <c r="F11" s="77" t="s">
        <v>142</v>
      </c>
      <c r="G11" s="88" t="s">
        <v>150</v>
      </c>
    </row>
    <row r="12" spans="1:60" ht="24" customHeight="1">
      <c r="A12" s="253">
        <v>321</v>
      </c>
      <c r="B12" s="1317" t="s">
        <v>242</v>
      </c>
      <c r="C12" s="1317"/>
      <c r="D12" s="1317"/>
      <c r="E12" s="1318"/>
      <c r="F12" s="109">
        <v>0</v>
      </c>
      <c r="G12" s="67"/>
    </row>
    <row r="13" spans="1:60" ht="24" customHeight="1">
      <c r="A13" s="253">
        <v>322</v>
      </c>
      <c r="B13" s="1317" t="s">
        <v>243</v>
      </c>
      <c r="C13" s="1317"/>
      <c r="D13" s="1317"/>
      <c r="E13" s="1318"/>
      <c r="F13" s="109">
        <v>0</v>
      </c>
      <c r="G13" s="67"/>
    </row>
    <row r="14" spans="1:60" ht="24" customHeight="1">
      <c r="A14" s="253">
        <v>323</v>
      </c>
      <c r="B14" s="1317" t="s">
        <v>106</v>
      </c>
      <c r="C14" s="1317"/>
      <c r="D14" s="1317"/>
      <c r="E14" s="1318"/>
      <c r="F14" s="109">
        <v>0</v>
      </c>
      <c r="G14" s="67"/>
    </row>
    <row r="15" spans="1:60" ht="24" customHeight="1">
      <c r="A15" s="253">
        <v>324</v>
      </c>
      <c r="B15" s="1317" t="s">
        <v>3799</v>
      </c>
      <c r="C15" s="1317"/>
      <c r="D15" s="1317"/>
      <c r="E15" s="1318"/>
      <c r="F15" s="165">
        <f>ROUND(+IF(+IF(IF('DAP2'!E16=0,0,(F12-F13)/'DAP2'!E16)&lt;0,0,IF('DAP2'!E16=0,0,(F12-F13)/'DAP2'!E16))&gt;1,1,+IF(IF('DAP2'!E16=0,0,(F12-F13)/'DAP2'!E16)&lt;0,0,IF('DAP2'!E16=0,0,(F12-F13)/'DAP2'!E16))),4)</f>
        <v>0</v>
      </c>
      <c r="G15" s="67"/>
    </row>
    <row r="16" spans="1:60" ht="24" customHeight="1">
      <c r="A16" s="253">
        <v>325</v>
      </c>
      <c r="B16" s="1317" t="s">
        <v>3800</v>
      </c>
      <c r="C16" s="1317"/>
      <c r="D16" s="1317"/>
      <c r="E16" s="1318"/>
      <c r="F16" s="273">
        <f>ROUND((+'DAP2'!F34+'DAP2'!F37)*F15,2)</f>
        <v>0</v>
      </c>
      <c r="G16" s="67"/>
    </row>
    <row r="17" spans="1:60" ht="24" customHeight="1" thickBot="1">
      <c r="A17" s="254">
        <v>326</v>
      </c>
      <c r="B17" s="1321" t="s">
        <v>137</v>
      </c>
      <c r="C17" s="1321"/>
      <c r="D17" s="1321"/>
      <c r="E17" s="1322"/>
      <c r="F17" s="274">
        <f>+MIN(F14,F16)</f>
        <v>0</v>
      </c>
      <c r="G17" s="86"/>
    </row>
    <row r="18" spans="1:60" ht="24" customHeight="1" thickBot="1">
      <c r="A18" s="255">
        <v>327</v>
      </c>
      <c r="B18" s="1345" t="s">
        <v>3630</v>
      </c>
      <c r="C18" s="1345"/>
      <c r="D18" s="1345"/>
      <c r="E18" s="1346"/>
      <c r="F18" s="275">
        <f>+F14-F17</f>
        <v>0</v>
      </c>
      <c r="G18" s="87"/>
    </row>
    <row r="19" spans="1:60" ht="24" customHeight="1">
      <c r="A19" s="1342" t="s">
        <v>3502</v>
      </c>
      <c r="B19" s="1343"/>
      <c r="C19" s="1343"/>
      <c r="D19" s="1343"/>
      <c r="E19" s="1343"/>
      <c r="F19" s="1343"/>
      <c r="G19" s="1343"/>
    </row>
    <row r="20" spans="1:60" ht="330" customHeight="1">
      <c r="A20" s="1344"/>
      <c r="B20" s="655"/>
      <c r="C20" s="655"/>
      <c r="D20" s="655"/>
      <c r="E20" s="655"/>
      <c r="F20" s="655"/>
      <c r="G20" s="655"/>
    </row>
    <row r="21" spans="1:60" ht="15.95" customHeight="1">
      <c r="A21" s="1324" t="str">
        <f>+'DAP1'!A46</f>
        <v>Formulář zpracovala ASPEKT HM, daňová, účetní a auditorská kancelář, www.danovapriznani.cz, business.center.cz</v>
      </c>
      <c r="B21" s="1324"/>
      <c r="C21" s="1324"/>
      <c r="D21" s="1324"/>
      <c r="E21" s="1324"/>
      <c r="F21" s="1324"/>
      <c r="G21" s="1324"/>
    </row>
    <row r="22" spans="1:60" s="164" customFormat="1" ht="12" customHeight="1">
      <c r="A22" s="1323" t="s">
        <v>3798</v>
      </c>
      <c r="B22" s="1339"/>
      <c r="C22" s="1339"/>
      <c r="D22" s="1339"/>
      <c r="E22" s="1339"/>
      <c r="F22" s="1339"/>
      <c r="G22" s="1339"/>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row>
    <row r="23" spans="1:60">
      <c r="A23" s="1319" t="s">
        <v>287</v>
      </c>
      <c r="B23" s="1319"/>
      <c r="C23" s="1319"/>
      <c r="D23" s="1319"/>
      <c r="E23" s="1320"/>
      <c r="F23" s="1320"/>
      <c r="G23" s="1320"/>
    </row>
    <row r="24" spans="1:60">
      <c r="A24" s="75"/>
      <c r="B24" s="75"/>
      <c r="C24" s="75"/>
      <c r="D24" s="75"/>
      <c r="E24" s="75"/>
      <c r="F24" s="75"/>
      <c r="G24" s="75"/>
    </row>
    <row r="25" spans="1:60">
      <c r="A25" s="75"/>
      <c r="B25" s="75"/>
      <c r="C25" s="75"/>
      <c r="D25" s="75"/>
      <c r="E25" s="75"/>
      <c r="F25" s="75"/>
      <c r="G25" s="75"/>
    </row>
    <row r="26" spans="1:60">
      <c r="A26" s="75"/>
      <c r="B26" s="75"/>
      <c r="C26" s="75"/>
      <c r="D26" s="75"/>
      <c r="E26" s="75"/>
      <c r="F26" s="75"/>
      <c r="G26" s="75"/>
    </row>
    <row r="27" spans="1:60">
      <c r="A27" s="75"/>
      <c r="B27" s="75"/>
      <c r="C27" s="75"/>
      <c r="D27" s="75"/>
      <c r="E27" s="75"/>
      <c r="F27" s="75"/>
      <c r="G27" s="75"/>
    </row>
    <row r="28" spans="1:60">
      <c r="A28" s="75"/>
      <c r="B28" s="75"/>
      <c r="C28" s="75"/>
      <c r="D28" s="75"/>
      <c r="E28" s="75"/>
      <c r="F28" s="75"/>
      <c r="G28" s="75"/>
    </row>
    <row r="29" spans="1:60">
      <c r="A29" s="75"/>
      <c r="B29" s="75"/>
      <c r="C29" s="75"/>
      <c r="D29" s="75"/>
      <c r="E29" s="75"/>
      <c r="F29" s="75"/>
      <c r="G29" s="75"/>
    </row>
    <row r="30" spans="1:60">
      <c r="A30" s="75"/>
      <c r="B30" s="75"/>
      <c r="C30" s="75"/>
      <c r="D30" s="75"/>
      <c r="E30" s="75"/>
      <c r="F30" s="75"/>
      <c r="G30" s="75"/>
    </row>
    <row r="31" spans="1:60">
      <c r="A31" s="75"/>
      <c r="B31" s="75"/>
      <c r="C31" s="75"/>
      <c r="D31" s="75"/>
      <c r="E31" s="75"/>
      <c r="F31" s="75"/>
      <c r="G31" s="75"/>
    </row>
    <row r="32" spans="1:60">
      <c r="A32" s="75"/>
      <c r="B32" s="75"/>
      <c r="C32" s="75"/>
      <c r="D32" s="75"/>
      <c r="E32" s="75"/>
      <c r="F32" s="75"/>
      <c r="G32" s="75"/>
    </row>
    <row r="33" spans="1:7">
      <c r="A33" s="75"/>
      <c r="B33" s="75"/>
      <c r="C33" s="75"/>
      <c r="D33" s="75"/>
      <c r="E33" s="75"/>
      <c r="F33" s="75"/>
      <c r="G33" s="75"/>
    </row>
    <row r="34" spans="1:7">
      <c r="A34" s="75"/>
      <c r="B34" s="75"/>
      <c r="C34" s="75"/>
      <c r="D34" s="75"/>
      <c r="E34" s="75"/>
      <c r="F34" s="75"/>
      <c r="G34" s="75"/>
    </row>
    <row r="35" spans="1:7">
      <c r="A35" s="75"/>
      <c r="B35" s="75"/>
      <c r="C35" s="75"/>
      <c r="D35" s="75"/>
      <c r="E35" s="75"/>
      <c r="F35" s="75"/>
      <c r="G35" s="75"/>
    </row>
    <row r="36" spans="1:7">
      <c r="A36" s="75"/>
      <c r="B36" s="75"/>
      <c r="C36" s="75"/>
      <c r="D36" s="75"/>
      <c r="E36" s="75"/>
      <c r="F36" s="75"/>
      <c r="G36" s="75"/>
    </row>
    <row r="37" spans="1:7">
      <c r="A37" s="75"/>
      <c r="B37" s="75"/>
      <c r="C37" s="75"/>
      <c r="D37" s="75"/>
      <c r="E37" s="75"/>
      <c r="F37" s="75"/>
      <c r="G37" s="75"/>
    </row>
    <row r="38" spans="1:7">
      <c r="A38" s="75"/>
      <c r="B38" s="75"/>
      <c r="C38" s="75"/>
      <c r="D38" s="75"/>
      <c r="E38" s="75"/>
      <c r="F38" s="75"/>
      <c r="G38" s="75"/>
    </row>
    <row r="39" spans="1:7">
      <c r="A39" s="75"/>
      <c r="B39" s="75"/>
      <c r="C39" s="75"/>
      <c r="D39" s="75"/>
      <c r="E39" s="75"/>
      <c r="F39" s="75"/>
      <c r="G39" s="75"/>
    </row>
    <row r="40" spans="1:7">
      <c r="A40" s="75"/>
      <c r="B40" s="75"/>
      <c r="C40" s="75"/>
      <c r="D40" s="75"/>
      <c r="E40" s="75"/>
      <c r="F40" s="75"/>
      <c r="G40" s="75"/>
    </row>
    <row r="41" spans="1:7">
      <c r="A41" s="75"/>
      <c r="B41" s="75"/>
      <c r="C41" s="75"/>
      <c r="D41" s="75"/>
      <c r="E41" s="75"/>
      <c r="F41" s="75"/>
      <c r="G41" s="75"/>
    </row>
    <row r="42" spans="1:7">
      <c r="A42" s="75"/>
      <c r="B42" s="75"/>
      <c r="C42" s="75"/>
      <c r="D42" s="75"/>
      <c r="E42" s="75"/>
      <c r="F42" s="75"/>
      <c r="G42" s="75"/>
    </row>
    <row r="43" spans="1:7">
      <c r="A43" s="75"/>
      <c r="B43" s="75"/>
      <c r="C43" s="75"/>
      <c r="D43" s="75"/>
      <c r="E43" s="75"/>
      <c r="F43" s="75"/>
      <c r="G43" s="75"/>
    </row>
    <row r="44" spans="1:7">
      <c r="A44" s="75"/>
      <c r="B44" s="75"/>
      <c r="C44" s="75"/>
      <c r="D44" s="75"/>
      <c r="E44" s="75"/>
      <c r="F44" s="75"/>
      <c r="G44" s="75"/>
    </row>
    <row r="45" spans="1:7">
      <c r="A45" s="75"/>
      <c r="B45" s="75"/>
      <c r="C45" s="75"/>
      <c r="D45" s="75"/>
      <c r="E45" s="75"/>
      <c r="F45" s="75"/>
      <c r="G45" s="75"/>
    </row>
    <row r="46" spans="1:7">
      <c r="A46" s="75"/>
      <c r="B46" s="75"/>
      <c r="C46" s="75"/>
      <c r="D46" s="75"/>
      <c r="E46" s="75"/>
      <c r="F46" s="75"/>
      <c r="G46" s="75"/>
    </row>
    <row r="47" spans="1:7">
      <c r="A47" s="75"/>
      <c r="B47" s="75"/>
      <c r="C47" s="75"/>
      <c r="D47" s="75"/>
      <c r="E47" s="75"/>
      <c r="F47" s="75"/>
      <c r="G47" s="75"/>
    </row>
    <row r="48" spans="1:7">
      <c r="A48" s="75"/>
      <c r="B48" s="75"/>
      <c r="C48" s="75"/>
      <c r="D48" s="75"/>
      <c r="E48" s="75"/>
      <c r="F48" s="75"/>
      <c r="G48" s="75"/>
    </row>
    <row r="49" spans="1:7">
      <c r="A49" s="75"/>
      <c r="B49" s="75"/>
      <c r="C49" s="75"/>
      <c r="D49" s="75"/>
      <c r="E49" s="75"/>
      <c r="F49" s="75"/>
      <c r="G49" s="75"/>
    </row>
    <row r="50" spans="1:7">
      <c r="A50" s="75"/>
      <c r="B50" s="75"/>
      <c r="C50" s="75"/>
      <c r="D50" s="75"/>
      <c r="E50" s="75"/>
      <c r="F50" s="75"/>
      <c r="G50" s="75"/>
    </row>
    <row r="51" spans="1:7">
      <c r="A51" s="75"/>
      <c r="B51" s="75"/>
      <c r="C51" s="75"/>
      <c r="D51" s="75"/>
      <c r="E51" s="75"/>
      <c r="F51" s="75"/>
      <c r="G51" s="75"/>
    </row>
    <row r="52" spans="1:7">
      <c r="A52" s="75"/>
      <c r="B52" s="75"/>
      <c r="C52" s="75"/>
      <c r="D52" s="75"/>
      <c r="E52" s="75"/>
      <c r="F52" s="75"/>
      <c r="G52" s="75"/>
    </row>
    <row r="53" spans="1:7">
      <c r="A53" s="75"/>
      <c r="B53" s="75"/>
      <c r="C53" s="75"/>
      <c r="D53" s="75"/>
      <c r="E53" s="75"/>
      <c r="F53" s="75"/>
      <c r="G53" s="75"/>
    </row>
    <row r="54" spans="1:7">
      <c r="A54" s="75"/>
      <c r="B54" s="75"/>
      <c r="C54" s="75"/>
      <c r="D54" s="75"/>
      <c r="E54" s="75"/>
      <c r="F54" s="75"/>
      <c r="G54" s="75"/>
    </row>
    <row r="55" spans="1:7">
      <c r="A55" s="75"/>
      <c r="B55" s="75"/>
      <c r="C55" s="75"/>
      <c r="D55" s="75"/>
      <c r="E55" s="75"/>
      <c r="F55" s="75"/>
      <c r="G55" s="75"/>
    </row>
    <row r="56" spans="1:7">
      <c r="A56" s="75"/>
      <c r="B56" s="75"/>
      <c r="C56" s="75"/>
      <c r="D56" s="75"/>
      <c r="E56" s="75"/>
      <c r="F56" s="75"/>
      <c r="G56" s="75"/>
    </row>
    <row r="57" spans="1:7">
      <c r="A57" s="75"/>
      <c r="B57" s="75"/>
      <c r="C57" s="75"/>
      <c r="D57" s="75"/>
      <c r="E57" s="75"/>
      <c r="F57" s="75"/>
      <c r="G57" s="75"/>
    </row>
    <row r="58" spans="1:7">
      <c r="A58" s="75"/>
      <c r="B58" s="75"/>
      <c r="C58" s="75"/>
      <c r="D58" s="75"/>
      <c r="E58" s="75"/>
      <c r="F58" s="75"/>
      <c r="G58" s="75"/>
    </row>
    <row r="59" spans="1:7">
      <c r="A59" s="75"/>
      <c r="B59" s="75"/>
      <c r="C59" s="75"/>
      <c r="D59" s="75"/>
      <c r="E59" s="75"/>
      <c r="F59" s="75"/>
      <c r="G59" s="75"/>
    </row>
    <row r="60" spans="1:7">
      <c r="A60" s="75"/>
      <c r="B60" s="75"/>
      <c r="C60" s="75"/>
      <c r="D60" s="75"/>
      <c r="E60" s="75"/>
      <c r="F60" s="75"/>
      <c r="G60" s="75"/>
    </row>
    <row r="61" spans="1:7">
      <c r="A61" s="75"/>
      <c r="B61" s="75"/>
      <c r="C61" s="75"/>
      <c r="D61" s="75"/>
      <c r="E61" s="75"/>
      <c r="F61" s="75"/>
      <c r="G61" s="75"/>
    </row>
    <row r="62" spans="1:7">
      <c r="A62" s="75"/>
      <c r="B62" s="75"/>
      <c r="C62" s="75"/>
      <c r="D62" s="75"/>
      <c r="E62" s="75"/>
      <c r="F62" s="75"/>
      <c r="G62" s="75"/>
    </row>
    <row r="63" spans="1:7">
      <c r="A63" s="75"/>
      <c r="B63" s="75"/>
      <c r="C63" s="75"/>
      <c r="D63" s="75"/>
      <c r="E63" s="75"/>
      <c r="F63" s="75"/>
      <c r="G63" s="75"/>
    </row>
    <row r="64" spans="1:7">
      <c r="A64" s="75"/>
      <c r="B64" s="75"/>
      <c r="C64" s="75"/>
      <c r="D64" s="75"/>
      <c r="E64" s="75"/>
      <c r="F64" s="75"/>
      <c r="G64" s="75"/>
    </row>
    <row r="65" s="75" customFormat="1"/>
    <row r="66" s="75" customFormat="1"/>
    <row r="67" s="75" customFormat="1"/>
    <row r="68" s="75" customFormat="1"/>
    <row r="69" s="75" customFormat="1"/>
    <row r="70" s="75" customFormat="1"/>
    <row r="71" s="75" customFormat="1"/>
    <row r="72" s="75" customFormat="1"/>
    <row r="73" s="75" customFormat="1"/>
    <row r="74" s="75" customFormat="1"/>
    <row r="75" s="75" customFormat="1"/>
    <row r="76" s="75" customFormat="1"/>
    <row r="77" s="75" customFormat="1"/>
    <row r="78" s="75" customFormat="1"/>
    <row r="79" s="75" customFormat="1"/>
    <row r="80" s="75" customFormat="1"/>
    <row r="81" s="75" customFormat="1"/>
    <row r="82" s="75" customFormat="1"/>
    <row r="83" s="75" customFormat="1"/>
    <row r="84" s="75" customFormat="1"/>
    <row r="85" s="75" customFormat="1"/>
    <row r="86" s="75" customFormat="1"/>
    <row r="87" s="75" customFormat="1"/>
    <row r="88" s="75" customFormat="1"/>
    <row r="89" s="75" customFormat="1"/>
    <row r="90" s="75" customFormat="1"/>
    <row r="91" s="75" customFormat="1"/>
    <row r="92" s="75" customFormat="1"/>
    <row r="93" s="75" customFormat="1"/>
    <row r="94" s="75" customFormat="1"/>
    <row r="95" s="75" customFormat="1"/>
    <row r="96" s="75" customFormat="1"/>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sheetData>
  <sheetProtection algorithmName="SHA-512" hashValue="5v79JCYkZ0oWDHkJqB5cWYyBOM+G7NWXGoP85jC6GLiO0BMoAwoEfKhHz6SoFCNof11QM5esS+Pq9wibmFmj9A==" saltValue="gNOxw+kv3bZKzjilDzboSA=="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7">
    <tabColor rgb="FFFFCCFF"/>
    <pageSetUpPr fitToPage="1"/>
  </sheetPr>
  <dimension ref="A1:AL61"/>
  <sheetViews>
    <sheetView workbookViewId="0">
      <selection activeCell="B13" sqref="B13"/>
    </sheetView>
  </sheetViews>
  <sheetFormatPr defaultRowHeight="12.75"/>
  <cols>
    <col min="2" max="6" width="18.7109375" customWidth="1"/>
    <col min="7" max="38" width="9.140625" style="21"/>
  </cols>
  <sheetData>
    <row r="1" spans="1:38" ht="20.100000000000001" customHeight="1" thickBot="1">
      <c r="A1" s="1021"/>
      <c r="B1" s="1021"/>
      <c r="C1" s="1360" t="s">
        <v>37</v>
      </c>
      <c r="D1" s="1361"/>
      <c r="E1" s="1362"/>
      <c r="F1" s="174" t="str">
        <f>+'2Př'!I1</f>
        <v/>
      </c>
    </row>
    <row r="2" spans="1:38" ht="27.95" customHeight="1">
      <c r="A2" s="1021"/>
      <c r="B2" s="1021"/>
      <c r="C2" s="1021"/>
      <c r="D2" s="1021"/>
      <c r="E2" s="1021"/>
      <c r="F2" s="1021"/>
    </row>
    <row r="3" spans="1:38" ht="27.95" customHeight="1">
      <c r="A3" s="1363" t="s">
        <v>174</v>
      </c>
      <c r="B3" s="1363"/>
      <c r="C3" s="1363"/>
      <c r="D3" s="1363"/>
      <c r="E3" s="1363"/>
      <c r="F3" s="1363"/>
    </row>
    <row r="4" spans="1:38" ht="27.95" customHeight="1" thickBot="1">
      <c r="A4" s="1021"/>
      <c r="B4" s="1021"/>
      <c r="C4" s="1021"/>
      <c r="D4" s="1021"/>
      <c r="E4" s="1021"/>
      <c r="F4" s="1021"/>
    </row>
    <row r="5" spans="1:38" s="169" customFormat="1" ht="18.75" thickBot="1">
      <c r="A5" s="1364" t="s">
        <v>118</v>
      </c>
      <c r="B5" s="1364"/>
      <c r="C5" s="1364"/>
      <c r="D5" s="1364"/>
      <c r="E5" s="1365"/>
      <c r="F5" s="170">
        <f>+'DAP1'!F24</f>
        <v>2024</v>
      </c>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1:38" ht="18">
      <c r="A6" s="1355" t="s">
        <v>175</v>
      </c>
      <c r="B6" s="1355"/>
      <c r="C6" s="1355"/>
      <c r="D6" s="1355"/>
      <c r="E6" s="1355"/>
      <c r="F6" s="1355"/>
    </row>
    <row r="7" spans="1:38" ht="15">
      <c r="A7" s="1356" t="s">
        <v>45</v>
      </c>
      <c r="B7" s="1356"/>
      <c r="C7" s="1356"/>
      <c r="D7" s="1356"/>
      <c r="E7" s="1356"/>
      <c r="F7" s="1356"/>
    </row>
    <row r="8" spans="1:38" ht="13.5" thickBot="1">
      <c r="A8" s="1021"/>
      <c r="B8" s="1021"/>
      <c r="C8" s="1021"/>
      <c r="D8" s="1021"/>
      <c r="E8" s="1021"/>
      <c r="F8" s="1021"/>
    </row>
    <row r="9" spans="1:38">
      <c r="A9" s="210" t="s">
        <v>168</v>
      </c>
      <c r="B9" s="211" t="s">
        <v>173</v>
      </c>
      <c r="C9" s="211" t="s">
        <v>172</v>
      </c>
      <c r="D9" s="211" t="s">
        <v>171</v>
      </c>
      <c r="E9" s="211" t="s">
        <v>170</v>
      </c>
      <c r="F9" s="212" t="s">
        <v>169</v>
      </c>
    </row>
    <row r="10" spans="1:38" ht="12.75" customHeight="1">
      <c r="A10" s="1357" t="s">
        <v>6</v>
      </c>
      <c r="B10" s="1353" t="s">
        <v>3739</v>
      </c>
      <c r="C10" s="1353" t="s">
        <v>3740</v>
      </c>
      <c r="D10" s="1353" t="s">
        <v>3741</v>
      </c>
      <c r="E10" s="1353" t="s">
        <v>3742</v>
      </c>
      <c r="F10" s="1358" t="s">
        <v>3743</v>
      </c>
    </row>
    <row r="11" spans="1:38" ht="45.75" customHeight="1">
      <c r="A11" s="1357"/>
      <c r="B11" s="1353"/>
      <c r="C11" s="1353"/>
      <c r="D11" s="1354"/>
      <c r="E11" s="1354"/>
      <c r="F11" s="1359"/>
    </row>
    <row r="12" spans="1:38" ht="18" customHeight="1">
      <c r="A12" s="175">
        <v>1</v>
      </c>
      <c r="B12" s="213">
        <v>2023</v>
      </c>
      <c r="C12" s="214">
        <v>0</v>
      </c>
      <c r="D12" s="214">
        <v>0</v>
      </c>
      <c r="E12" s="214">
        <v>0</v>
      </c>
      <c r="F12" s="215">
        <f t="shared" ref="F12:F19" si="0">+C12-D12-E12</f>
        <v>0</v>
      </c>
    </row>
    <row r="13" spans="1:38" ht="18" customHeight="1">
      <c r="A13" s="175">
        <v>2</v>
      </c>
      <c r="B13" s="216"/>
      <c r="C13" s="214"/>
      <c r="D13" s="214"/>
      <c r="E13" s="214"/>
      <c r="F13" s="215">
        <f t="shared" si="0"/>
        <v>0</v>
      </c>
    </row>
    <row r="14" spans="1:38" ht="18" customHeight="1">
      <c r="A14" s="175">
        <v>3</v>
      </c>
      <c r="B14" s="216"/>
      <c r="C14" s="214"/>
      <c r="D14" s="214"/>
      <c r="E14" s="214"/>
      <c r="F14" s="215">
        <f t="shared" si="0"/>
        <v>0</v>
      </c>
    </row>
    <row r="15" spans="1:38" ht="18" customHeight="1">
      <c r="A15" s="175">
        <v>4</v>
      </c>
      <c r="B15" s="216"/>
      <c r="C15" s="214"/>
      <c r="D15" s="214"/>
      <c r="E15" s="214"/>
      <c r="F15" s="215">
        <f t="shared" si="0"/>
        <v>0</v>
      </c>
    </row>
    <row r="16" spans="1:38" ht="18" customHeight="1">
      <c r="A16" s="175">
        <v>5</v>
      </c>
      <c r="B16" s="216"/>
      <c r="C16" s="214"/>
      <c r="D16" s="214"/>
      <c r="E16" s="214"/>
      <c r="F16" s="215">
        <f t="shared" si="0"/>
        <v>0</v>
      </c>
    </row>
    <row r="17" spans="1:6" ht="18" customHeight="1">
      <c r="A17" s="175">
        <v>6</v>
      </c>
      <c r="B17" s="216"/>
      <c r="C17" s="214"/>
      <c r="D17" s="214"/>
      <c r="E17" s="214"/>
      <c r="F17" s="215">
        <f t="shared" si="0"/>
        <v>0</v>
      </c>
    </row>
    <row r="18" spans="1:6" ht="18" customHeight="1">
      <c r="A18" s="175">
        <v>7</v>
      </c>
      <c r="B18" s="216"/>
      <c r="C18" s="214"/>
      <c r="D18" s="214"/>
      <c r="E18" s="214"/>
      <c r="F18" s="215">
        <f t="shared" si="0"/>
        <v>0</v>
      </c>
    </row>
    <row r="19" spans="1:6" ht="18" customHeight="1">
      <c r="A19" s="175">
        <v>8</v>
      </c>
      <c r="B19" s="216"/>
      <c r="C19" s="214"/>
      <c r="D19" s="214"/>
      <c r="E19" s="214"/>
      <c r="F19" s="215">
        <f t="shared" si="0"/>
        <v>0</v>
      </c>
    </row>
    <row r="20" spans="1:6" ht="18" customHeight="1" thickBot="1">
      <c r="A20" s="217">
        <v>9</v>
      </c>
      <c r="B20" s="1351" t="s">
        <v>57</v>
      </c>
      <c r="C20" s="1352"/>
      <c r="D20" s="1352"/>
      <c r="E20" s="218">
        <f>SUM(E12:E19)</f>
        <v>0</v>
      </c>
      <c r="F20" s="219">
        <f>SUM(F12:F19)</f>
        <v>0</v>
      </c>
    </row>
    <row r="21" spans="1:6" ht="24" customHeight="1">
      <c r="A21" s="1366" t="s">
        <v>3744</v>
      </c>
      <c r="B21" s="1366"/>
      <c r="C21" s="1366"/>
      <c r="D21" s="1366"/>
      <c r="E21" s="1366"/>
      <c r="F21" s="1366"/>
    </row>
    <row r="22" spans="1:6" ht="24" customHeight="1">
      <c r="A22" s="1021"/>
      <c r="B22" s="1021"/>
      <c r="C22" s="1021"/>
      <c r="D22" s="1021"/>
      <c r="E22" s="1021"/>
      <c r="F22" s="1021"/>
    </row>
    <row r="23" spans="1:6" ht="24" customHeight="1">
      <c r="A23" s="1021"/>
      <c r="B23" s="1021"/>
      <c r="C23" s="1021"/>
      <c r="D23" s="1021"/>
      <c r="E23" s="1021"/>
      <c r="F23" s="1021"/>
    </row>
    <row r="24" spans="1:6" ht="24" customHeight="1">
      <c r="A24" s="1021"/>
      <c r="B24" s="1021"/>
      <c r="C24" s="1021"/>
      <c r="D24" s="1021"/>
      <c r="E24" s="1021"/>
      <c r="F24" s="1021"/>
    </row>
    <row r="25" spans="1:6" ht="24" customHeight="1">
      <c r="A25" s="1021"/>
      <c r="B25" s="1021"/>
      <c r="C25" s="1021"/>
      <c r="D25" s="1021"/>
      <c r="E25" s="1021"/>
      <c r="F25" s="1021"/>
    </row>
    <row r="26" spans="1:6" ht="24" customHeight="1">
      <c r="A26" s="1021"/>
      <c r="B26" s="1021"/>
      <c r="C26" s="1021"/>
      <c r="D26" s="1021"/>
      <c r="E26" s="1021"/>
      <c r="F26" s="1021"/>
    </row>
    <row r="27" spans="1:6" ht="24" customHeight="1">
      <c r="A27" s="1021"/>
      <c r="B27" s="1021"/>
      <c r="C27" s="1021"/>
      <c r="D27" s="1021"/>
      <c r="E27" s="1021"/>
      <c r="F27" s="1021"/>
    </row>
    <row r="28" spans="1:6" ht="24" customHeight="1">
      <c r="A28" s="1021"/>
      <c r="B28" s="1021"/>
      <c r="C28" s="1021"/>
      <c r="D28" s="1021"/>
      <c r="E28" s="1021"/>
      <c r="F28" s="1021"/>
    </row>
    <row r="29" spans="1:6" ht="24" customHeight="1">
      <c r="A29" s="1021"/>
      <c r="B29" s="1021"/>
      <c r="C29" s="1021"/>
      <c r="D29" s="1021"/>
      <c r="E29" s="1021"/>
      <c r="F29" s="1021"/>
    </row>
    <row r="30" spans="1:6" ht="24" customHeight="1">
      <c r="A30" s="1021"/>
      <c r="B30" s="1021"/>
      <c r="C30" s="1021"/>
      <c r="D30" s="1021"/>
      <c r="E30" s="1021"/>
      <c r="F30" s="1021"/>
    </row>
    <row r="31" spans="1:6" ht="24" customHeight="1">
      <c r="A31" s="1021"/>
      <c r="B31" s="1021"/>
      <c r="C31" s="1021"/>
      <c r="D31" s="1021"/>
      <c r="E31" s="1021"/>
      <c r="F31" s="1021"/>
    </row>
    <row r="32" spans="1:6" ht="24" customHeight="1">
      <c r="A32" s="1021"/>
      <c r="B32" s="1021"/>
      <c r="C32" s="1021"/>
      <c r="D32" s="1021"/>
      <c r="E32" s="1021"/>
      <c r="F32" s="1021"/>
    </row>
    <row r="33" spans="1:6" ht="24" customHeight="1">
      <c r="A33" s="1021"/>
      <c r="B33" s="1021"/>
      <c r="C33" s="1021"/>
      <c r="D33" s="1021"/>
      <c r="E33" s="1021"/>
      <c r="F33" s="1021"/>
    </row>
    <row r="34" spans="1:6">
      <c r="A34" s="1369" t="str">
        <f>+'DAP1'!A46</f>
        <v>Formulář zpracovala ASPEKT HM, daňová, účetní a auditorská kancelář, www.danovapriznani.cz, business.center.cz</v>
      </c>
      <c r="B34" s="1370"/>
      <c r="C34" s="1370"/>
      <c r="D34" s="1370"/>
      <c r="E34" s="1370"/>
      <c r="F34" s="1370"/>
    </row>
    <row r="35" spans="1:6">
      <c r="A35" s="1367" t="s">
        <v>3745</v>
      </c>
      <c r="B35" s="1367"/>
      <c r="C35" s="1367"/>
      <c r="D35" s="1367"/>
      <c r="E35" s="1367"/>
      <c r="F35" s="1367"/>
    </row>
    <row r="36" spans="1:6">
      <c r="A36" s="1368" t="s">
        <v>287</v>
      </c>
      <c r="B36" s="1368"/>
      <c r="C36" s="1368"/>
      <c r="D36" s="1368"/>
      <c r="E36" s="1368"/>
      <c r="F36" s="1368"/>
    </row>
    <row r="37" spans="1:6">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8">
    <tabColor rgb="FFFFCCFF"/>
    <pageSetUpPr fitToPage="1"/>
  </sheetPr>
  <dimension ref="A1:U143"/>
  <sheetViews>
    <sheetView workbookViewId="0">
      <selection sqref="A1:D1"/>
    </sheetView>
  </sheetViews>
  <sheetFormatPr defaultRowHeight="12.75"/>
  <cols>
    <col min="1" max="1" width="7.42578125" customWidth="1"/>
    <col min="2" max="2" width="64.7109375" customWidth="1"/>
    <col min="3" max="6" width="18.7109375" customWidth="1"/>
    <col min="7" max="21" width="9.140625" style="21"/>
  </cols>
  <sheetData>
    <row r="1" spans="1:21" ht="18" customHeight="1">
      <c r="A1" s="1360" t="s">
        <v>37</v>
      </c>
      <c r="B1" s="1021"/>
      <c r="C1" s="1021"/>
      <c r="D1" s="1380"/>
      <c r="E1" s="1378" t="str">
        <f>+'6Př'!F1</f>
        <v/>
      </c>
      <c r="F1" s="1379"/>
    </row>
    <row r="2" spans="1:21">
      <c r="A2" s="1021"/>
      <c r="B2" s="1021"/>
      <c r="C2" s="1021"/>
      <c r="D2" s="1021"/>
      <c r="E2" s="1021"/>
      <c r="F2" s="1021"/>
    </row>
    <row r="3" spans="1:21" s="107" customFormat="1" ht="27.75">
      <c r="A3" s="1381" t="s">
        <v>111</v>
      </c>
      <c r="B3" s="1381"/>
      <c r="C3" s="1381"/>
      <c r="D3" s="1381"/>
      <c r="E3" s="1381"/>
      <c r="F3" s="1381"/>
      <c r="G3" s="110"/>
      <c r="H3" s="110"/>
      <c r="I3" s="110"/>
      <c r="J3" s="110"/>
      <c r="K3" s="110"/>
      <c r="L3" s="110"/>
      <c r="M3" s="110"/>
      <c r="N3" s="110"/>
      <c r="O3" s="110"/>
      <c r="P3" s="110"/>
      <c r="Q3" s="110"/>
      <c r="R3" s="110"/>
      <c r="S3" s="110"/>
      <c r="T3" s="110"/>
      <c r="U3" s="110"/>
    </row>
    <row r="4" spans="1:21" s="107" customFormat="1" ht="18">
      <c r="A4" s="659" t="s">
        <v>46</v>
      </c>
      <c r="B4" s="659"/>
      <c r="C4" s="659"/>
      <c r="D4" s="659"/>
      <c r="E4" s="659"/>
      <c r="F4" s="659"/>
      <c r="G4" s="110"/>
      <c r="H4" s="110"/>
      <c r="I4" s="110"/>
      <c r="J4" s="110"/>
      <c r="K4" s="110"/>
      <c r="L4" s="110"/>
      <c r="M4" s="110"/>
      <c r="N4" s="110"/>
      <c r="O4" s="110"/>
      <c r="P4" s="110"/>
      <c r="Q4" s="110"/>
      <c r="R4" s="110"/>
      <c r="S4" s="110"/>
      <c r="T4" s="110"/>
      <c r="U4" s="110"/>
    </row>
    <row r="5" spans="1:21" s="107" customFormat="1" ht="18">
      <c r="A5" s="659" t="s">
        <v>3503</v>
      </c>
      <c r="B5" s="659"/>
      <c r="C5" s="659"/>
      <c r="D5" s="659"/>
      <c r="E5" s="659"/>
      <c r="F5" s="659"/>
      <c r="G5" s="110"/>
      <c r="H5" s="110"/>
      <c r="I5" s="110"/>
      <c r="J5" s="110"/>
      <c r="K5" s="110"/>
      <c r="L5" s="110"/>
      <c r="M5" s="110"/>
      <c r="N5" s="110"/>
      <c r="O5" s="110"/>
      <c r="P5" s="110"/>
      <c r="Q5" s="110"/>
      <c r="R5" s="110"/>
      <c r="S5" s="110"/>
      <c r="T5" s="110"/>
      <c r="U5" s="110"/>
    </row>
    <row r="6" spans="1:21" s="107" customFormat="1" ht="18">
      <c r="A6" s="1373" t="s">
        <v>118</v>
      </c>
      <c r="B6" s="1373"/>
      <c r="C6" s="1373"/>
      <c r="D6" s="1374"/>
      <c r="E6" s="172">
        <f>+'DAP1'!F24</f>
        <v>2024</v>
      </c>
      <c r="F6" s="142"/>
      <c r="G6" s="110"/>
      <c r="H6" s="110"/>
      <c r="I6" s="110"/>
      <c r="J6" s="110"/>
      <c r="K6" s="110"/>
      <c r="L6" s="110"/>
      <c r="M6" s="110"/>
      <c r="N6" s="110"/>
      <c r="O6" s="110"/>
      <c r="P6" s="110"/>
      <c r="Q6" s="110"/>
      <c r="R6" s="110"/>
      <c r="S6" s="110"/>
      <c r="T6" s="110"/>
      <c r="U6" s="110"/>
    </row>
    <row r="7" spans="1:21" ht="13.5" thickBot="1">
      <c r="A7" s="1021"/>
      <c r="B7" s="1021"/>
      <c r="C7" s="1021"/>
      <c r="D7" s="1021"/>
      <c r="E7" s="1021"/>
      <c r="F7" s="1021"/>
    </row>
    <row r="8" spans="1:21" ht="18" customHeight="1">
      <c r="A8" s="220" t="s">
        <v>6</v>
      </c>
      <c r="B8" s="221" t="s">
        <v>47</v>
      </c>
      <c r="C8" s="221" t="s">
        <v>48</v>
      </c>
      <c r="D8" s="221" t="s">
        <v>49</v>
      </c>
      <c r="E8" s="221" t="s">
        <v>50</v>
      </c>
      <c r="F8" s="222" t="s">
        <v>51</v>
      </c>
    </row>
    <row r="9" spans="1:21" ht="18" customHeight="1" thickBot="1">
      <c r="A9" s="223" t="s">
        <v>119</v>
      </c>
      <c r="B9" s="224" t="s">
        <v>3504</v>
      </c>
      <c r="C9" s="224" t="s">
        <v>120</v>
      </c>
      <c r="D9" s="224" t="s">
        <v>121</v>
      </c>
      <c r="E9" s="224" t="s">
        <v>122</v>
      </c>
      <c r="F9" s="225" t="s">
        <v>123</v>
      </c>
    </row>
    <row r="10" spans="1:21" ht="18" customHeight="1">
      <c r="A10" s="226">
        <v>1</v>
      </c>
      <c r="B10" s="227"/>
      <c r="C10" s="228"/>
      <c r="D10" s="228"/>
      <c r="E10" s="228"/>
      <c r="F10" s="229"/>
    </row>
    <row r="11" spans="1:21" ht="18" customHeight="1">
      <c r="A11" s="230"/>
      <c r="B11" s="143"/>
      <c r="C11" s="231"/>
      <c r="D11" s="231"/>
      <c r="E11" s="231"/>
      <c r="F11" s="232"/>
    </row>
    <row r="12" spans="1:21" ht="18" customHeight="1">
      <c r="A12" s="230"/>
      <c r="B12" s="143"/>
      <c r="C12" s="231"/>
      <c r="D12" s="231"/>
      <c r="E12" s="231"/>
      <c r="F12" s="232"/>
    </row>
    <row r="13" spans="1:21" ht="18" customHeight="1">
      <c r="A13" s="230"/>
      <c r="B13" s="143"/>
      <c r="C13" s="231"/>
      <c r="D13" s="231"/>
      <c r="E13" s="231"/>
      <c r="F13" s="232"/>
    </row>
    <row r="14" spans="1:21" ht="18" customHeight="1">
      <c r="A14" s="230"/>
      <c r="B14" s="143"/>
      <c r="C14" s="231"/>
      <c r="D14" s="231"/>
      <c r="E14" s="231"/>
      <c r="F14" s="232"/>
    </row>
    <row r="15" spans="1:21" ht="18" customHeight="1">
      <c r="A15" s="230"/>
      <c r="B15" s="143"/>
      <c r="C15" s="231"/>
      <c r="D15" s="231"/>
      <c r="E15" s="231"/>
      <c r="F15" s="232"/>
    </row>
    <row r="16" spans="1:21" ht="18" customHeight="1">
      <c r="A16" s="230"/>
      <c r="B16" s="143"/>
      <c r="C16" s="231"/>
      <c r="D16" s="231"/>
      <c r="E16" s="231"/>
      <c r="F16" s="232"/>
    </row>
    <row r="17" spans="1:21" ht="18" customHeight="1">
      <c r="A17" s="230"/>
      <c r="B17" s="143"/>
      <c r="C17" s="231"/>
      <c r="D17" s="231"/>
      <c r="E17" s="231"/>
      <c r="F17" s="232"/>
    </row>
    <row r="18" spans="1:21" ht="18" customHeight="1">
      <c r="A18" s="230"/>
      <c r="B18" s="143"/>
      <c r="C18" s="231"/>
      <c r="D18" s="231"/>
      <c r="E18" s="231"/>
      <c r="F18" s="232"/>
    </row>
    <row r="19" spans="1:21" ht="18" customHeight="1">
      <c r="A19" s="230"/>
      <c r="B19" s="143"/>
      <c r="C19" s="231"/>
      <c r="D19" s="231"/>
      <c r="E19" s="231"/>
      <c r="F19" s="232"/>
    </row>
    <row r="20" spans="1:21" ht="18" customHeight="1">
      <c r="A20" s="230"/>
      <c r="B20" s="143"/>
      <c r="C20" s="231"/>
      <c r="D20" s="231"/>
      <c r="E20" s="231"/>
      <c r="F20" s="232"/>
    </row>
    <row r="21" spans="1:21" ht="18" customHeight="1">
      <c r="A21" s="230"/>
      <c r="B21" s="143"/>
      <c r="C21" s="231"/>
      <c r="D21" s="231"/>
      <c r="E21" s="231"/>
      <c r="F21" s="232"/>
    </row>
    <row r="22" spans="1:21" ht="18" customHeight="1">
      <c r="A22" s="230"/>
      <c r="B22" s="143"/>
      <c r="C22" s="231"/>
      <c r="D22" s="231"/>
      <c r="E22" s="231"/>
      <c r="F22" s="232"/>
    </row>
    <row r="23" spans="1:21" ht="18" customHeight="1">
      <c r="A23" s="230"/>
      <c r="B23" s="143"/>
      <c r="C23" s="231"/>
      <c r="D23" s="231"/>
      <c r="E23" s="231"/>
      <c r="F23" s="232"/>
    </row>
    <row r="24" spans="1:21" ht="18" customHeight="1">
      <c r="A24" s="230"/>
      <c r="B24" s="143"/>
      <c r="C24" s="231"/>
      <c r="D24" s="231"/>
      <c r="E24" s="231"/>
      <c r="F24" s="232"/>
    </row>
    <row r="25" spans="1:21" ht="18" customHeight="1" thickBot="1">
      <c r="A25" s="233"/>
      <c r="B25" s="234"/>
      <c r="C25" s="235"/>
      <c r="D25" s="235"/>
      <c r="E25" s="235"/>
      <c r="F25" s="236"/>
    </row>
    <row r="26" spans="1:21">
      <c r="A26" s="1375"/>
      <c r="B26" s="1375"/>
      <c r="C26" s="1375"/>
      <c r="D26" s="1375"/>
      <c r="E26" s="1375"/>
      <c r="F26" s="1375"/>
    </row>
    <row r="27" spans="1:21" s="107" customFormat="1">
      <c r="A27" s="1376" t="s">
        <v>3515</v>
      </c>
      <c r="B27" s="1052"/>
      <c r="C27" s="1052"/>
      <c r="D27" s="1052"/>
      <c r="E27" s="1052"/>
      <c r="F27" s="1052"/>
      <c r="G27" s="110"/>
      <c r="H27" s="110"/>
      <c r="I27" s="110"/>
      <c r="J27" s="110"/>
      <c r="K27" s="110"/>
      <c r="L27" s="110"/>
      <c r="M27" s="110"/>
      <c r="N27" s="110"/>
      <c r="O27" s="110"/>
      <c r="P27" s="110"/>
      <c r="Q27" s="110"/>
      <c r="R27" s="110"/>
      <c r="S27" s="110"/>
      <c r="T27" s="110"/>
      <c r="U27" s="110"/>
    </row>
    <row r="28" spans="1:21" s="107" customFormat="1" ht="24" customHeight="1">
      <c r="A28" s="1377" t="s">
        <v>3505</v>
      </c>
      <c r="B28" s="682"/>
      <c r="C28" s="682"/>
      <c r="D28" s="682"/>
      <c r="E28" s="682"/>
      <c r="F28" s="682"/>
      <c r="G28" s="110"/>
      <c r="H28" s="110"/>
      <c r="I28" s="110"/>
      <c r="J28" s="110"/>
      <c r="K28" s="110"/>
      <c r="L28" s="110"/>
      <c r="M28" s="110"/>
      <c r="N28" s="110"/>
      <c r="O28" s="110"/>
      <c r="P28" s="110"/>
      <c r="Q28" s="110"/>
      <c r="R28" s="110"/>
      <c r="S28" s="110"/>
      <c r="T28" s="110"/>
      <c r="U28" s="110"/>
    </row>
    <row r="29" spans="1:21" s="107" customFormat="1">
      <c r="A29" s="1376" t="s">
        <v>124</v>
      </c>
      <c r="B29" s="1052"/>
      <c r="C29" s="1052"/>
      <c r="D29" s="1052"/>
      <c r="E29" s="1052"/>
      <c r="F29" s="1052"/>
      <c r="G29" s="110"/>
      <c r="H29" s="110"/>
      <c r="I29" s="110"/>
      <c r="J29" s="110"/>
      <c r="K29" s="110"/>
      <c r="L29" s="110"/>
      <c r="M29" s="110"/>
      <c r="N29" s="110"/>
      <c r="O29" s="110"/>
      <c r="P29" s="110"/>
      <c r="Q29" s="110"/>
      <c r="R29" s="110"/>
      <c r="S29" s="110"/>
      <c r="T29" s="110"/>
      <c r="U29" s="110"/>
    </row>
    <row r="30" spans="1:21" s="107" customFormat="1" ht="12" customHeight="1">
      <c r="A30" s="1376" t="s">
        <v>125</v>
      </c>
      <c r="B30" s="1052"/>
      <c r="C30" s="1052"/>
      <c r="D30" s="1052"/>
      <c r="E30" s="1052"/>
      <c r="F30" s="1052"/>
      <c r="G30" s="110"/>
      <c r="H30" s="110"/>
      <c r="I30" s="110"/>
      <c r="J30" s="110"/>
      <c r="K30" s="110"/>
      <c r="L30" s="110"/>
      <c r="M30" s="110"/>
      <c r="N30" s="110"/>
      <c r="O30" s="110"/>
      <c r="P30" s="110"/>
      <c r="Q30" s="110"/>
      <c r="R30" s="110"/>
      <c r="S30" s="110"/>
      <c r="T30" s="110"/>
      <c r="U30" s="110"/>
    </row>
    <row r="31" spans="1:21" s="107" customFormat="1" ht="24" customHeight="1">
      <c r="A31" s="1377" t="s">
        <v>126</v>
      </c>
      <c r="B31" s="682"/>
      <c r="C31" s="682"/>
      <c r="D31" s="682"/>
      <c r="E31" s="682"/>
      <c r="F31" s="682"/>
      <c r="G31" s="110"/>
      <c r="H31" s="110"/>
      <c r="I31" s="110"/>
      <c r="J31" s="110"/>
      <c r="K31" s="110"/>
      <c r="L31" s="110"/>
      <c r="M31" s="110"/>
      <c r="N31" s="110"/>
      <c r="O31" s="110"/>
      <c r="P31" s="110"/>
      <c r="Q31" s="110"/>
      <c r="R31" s="110"/>
      <c r="S31" s="110"/>
      <c r="T31" s="110"/>
      <c r="U31" s="110"/>
    </row>
    <row r="32" spans="1:21" s="107" customFormat="1" ht="12.75" customHeight="1">
      <c r="A32" s="1377" t="s">
        <v>3801</v>
      </c>
      <c r="B32" s="682"/>
      <c r="C32" s="682"/>
      <c r="D32" s="682"/>
      <c r="E32" s="682"/>
      <c r="F32" s="682"/>
      <c r="G32" s="110"/>
      <c r="H32" s="110"/>
      <c r="I32" s="110"/>
      <c r="J32" s="110"/>
      <c r="K32" s="110"/>
      <c r="L32" s="110"/>
      <c r="M32" s="110"/>
      <c r="N32" s="110"/>
      <c r="O32" s="110"/>
      <c r="P32" s="110"/>
      <c r="Q32" s="110"/>
      <c r="R32" s="110"/>
      <c r="S32" s="110"/>
      <c r="T32" s="110"/>
      <c r="U32" s="110"/>
    </row>
    <row r="33" spans="1:6">
      <c r="A33" s="75"/>
      <c r="B33" s="75"/>
      <c r="C33" s="75"/>
      <c r="D33" s="75"/>
      <c r="E33" s="75"/>
      <c r="F33" s="75"/>
    </row>
    <row r="34" spans="1:6">
      <c r="A34" s="1369" t="str">
        <f>+'DAP1'!A46</f>
        <v>Formulář zpracovala ASPEKT HM, daňová, účetní a auditorská kancelář, www.danovapriznani.cz, business.center.cz</v>
      </c>
      <c r="B34" s="1371"/>
      <c r="C34" s="1371"/>
      <c r="D34" s="1371"/>
      <c r="E34" s="1371"/>
      <c r="F34" s="1371"/>
    </row>
    <row r="35" spans="1:6">
      <c r="A35" s="1372" t="s">
        <v>3802</v>
      </c>
      <c r="B35" s="1372"/>
      <c r="C35" s="1372"/>
      <c r="D35" s="1372"/>
      <c r="E35" s="1372"/>
      <c r="F35" s="1372"/>
    </row>
    <row r="36" spans="1:6">
      <c r="A36" s="1368" t="s">
        <v>287</v>
      </c>
      <c r="B36" s="1368"/>
      <c r="C36" s="1368"/>
      <c r="D36" s="1368"/>
      <c r="E36" s="1368"/>
      <c r="F36" s="1368"/>
    </row>
    <row r="37" spans="1:6" ht="13.5" customHeight="1">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sheetData>
  <sheetProtection algorithmName="SHA-512" hashValue="6Sz6t6gRBRLdnR6KhExOh3Zl4KEooRel22Eq1xPajww1Idy7r+oFkFku6hppl84raztBc268YQuO5WfT9NaJNg==" saltValue="ExBHbVL41Nwtu/lX1UycfQ=="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phoneticPr fontId="11" type="noConversion"/>
  <dataValidations count="1">
    <dataValidation type="list" allowBlank="1" showInputMessage="1" showErrorMessage="1" errorTitle="Stát není v seznamu" sqref="C10:C25" xr:uid="{00000000-0002-0000-1000-000000000000}">
      <formula1>staty</formula1>
    </dataValidation>
  </dataValidations>
  <printOptions horizontalCentered="1" verticalCentered="1"/>
  <pageMargins left="0.39370078740157483" right="0.39370078740157483" top="0.39370078740157483" bottom="0.39370078740157483"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topLeftCell="XFD1048576" zoomScale="90" zoomScaleNormal="90" workbookViewId="0">
      <selection activeCell="A46" sqref="A1:XFD1048576"/>
    </sheetView>
  </sheetViews>
  <sheetFormatPr defaultColWidth="0" defaultRowHeight="12.75" customHeight="1" zeroHeight="1"/>
  <cols>
    <col min="1" max="16384" width="6.5703125" hidden="1"/>
  </cols>
  <sheetData>
    <row r="1" spans="1:27" ht="12.75" hidden="1" customHeight="1">
      <c r="A1" s="351" t="s">
        <v>351</v>
      </c>
      <c r="E1" t="s">
        <v>421</v>
      </c>
      <c r="I1" t="s">
        <v>468</v>
      </c>
      <c r="M1" t="s">
        <v>489</v>
      </c>
      <c r="Q1" t="s">
        <v>507</v>
      </c>
      <c r="R1" s="356" t="s">
        <v>3553</v>
      </c>
      <c r="S1" s="356" t="s">
        <v>506</v>
      </c>
      <c r="T1" s="356" t="s">
        <v>508</v>
      </c>
      <c r="U1" s="356" t="s">
        <v>3554</v>
      </c>
      <c r="V1" s="356" t="s">
        <v>3555</v>
      </c>
      <c r="W1" s="356" t="s">
        <v>509</v>
      </c>
      <c r="X1" s="356" t="s">
        <v>510</v>
      </c>
      <c r="Y1" s="296" t="s">
        <v>511</v>
      </c>
      <c r="Z1" s="296" t="s">
        <v>3552</v>
      </c>
      <c r="AA1" s="296" t="s">
        <v>3551</v>
      </c>
    </row>
    <row r="2" spans="1:27" ht="12.75" hidden="1" customHeight="1">
      <c r="A2" s="296" t="s">
        <v>352</v>
      </c>
      <c r="B2" s="352" t="str">
        <f>IF('DAP1'!J19&lt;&gt;"","A",IF('DAP1'!L19&lt;&gt;"","N",""))</f>
        <v>N</v>
      </c>
      <c r="C2" s="303" t="s">
        <v>3424</v>
      </c>
      <c r="E2" s="296" t="s">
        <v>422</v>
      </c>
      <c r="F2" s="352" t="str">
        <f>IF(ZAKL_DATA!B26&lt;&gt;"",ZAKL_DATA!B26,"")</f>
        <v/>
      </c>
      <c r="G2" s="303" t="s">
        <v>3425</v>
      </c>
      <c r="I2" s="296" t="s">
        <v>469</v>
      </c>
      <c r="J2" s="354">
        <f>'6Př'!E20</f>
        <v>0</v>
      </c>
      <c r="M2" s="296" t="s">
        <v>490</v>
      </c>
      <c r="N2" s="354">
        <f>'DAP2'!F34</f>
        <v>0</v>
      </c>
      <c r="O2" s="303" t="s">
        <v>3425</v>
      </c>
      <c r="R2" s="352" t="str">
        <f>IF('DAP3'!D17&lt;&gt;"",CONCATENATE(MID('DAP3'!D17,5,2),".",IF(VALUE(MID('DAP3'!D17,3,2))&lt;13,MID('DAP3'!D17,3,2),MID('DAP3'!D17,3,2)-50),".",IF(MID('DAP3'!D17,1,2)&lt;"50","20","19"),MID('DAP3'!D17,1,2)),"")</f>
        <v/>
      </c>
      <c r="S2" s="352" t="e">
        <f>IF('DAP3'!B17&lt;&gt;"XXX",MID('DAP3'!B17,(FIND(" ",'DAP3'!B17,1))+1,LEN('DAP3'!B17)),"")</f>
        <v>#VALUE!</v>
      </c>
      <c r="T2" s="303" t="str">
        <f>IF('DAP3'!F17&lt;&gt;"",'DAP3'!F17,"")</f>
        <v/>
      </c>
      <c r="U2" s="303" t="str">
        <f>IF('DAP3'!H17&lt;&gt;"",'DAP3'!H17,"")</f>
        <v/>
      </c>
      <c r="V2" t="str">
        <f>IF('DAP3'!J17&lt;&gt;"",'DAP3'!J17,"")</f>
        <v/>
      </c>
      <c r="W2" s="352" t="e">
        <f>IF('DAP3'!B17&lt;&gt;"XXX",LEFT('DAP3'!B17,(FIND(" ",'DAP3'!B17,1))-1),"")</f>
        <v>#VALUE!</v>
      </c>
      <c r="X2" s="297" t="str">
        <f>IF('DAP3'!D17&lt;&gt;"",'DAP3'!D17,"")</f>
        <v/>
      </c>
      <c r="Y2" t="str">
        <f>IF('DAP3'!G17&lt;&gt;"",'DAP3'!G17,"")</f>
        <v/>
      </c>
      <c r="Z2" t="str">
        <f>IF('DAP3'!I17&lt;&gt;"",'DAP3'!I17,"")</f>
        <v/>
      </c>
      <c r="AA2" t="str">
        <f>IF('DAP3'!K17&lt;&gt;"",'DAP3'!K17,"")</f>
        <v/>
      </c>
    </row>
    <row r="3" spans="1:27" ht="12.75" hidden="1" customHeight="1">
      <c r="A3" s="296" t="s">
        <v>353</v>
      </c>
      <c r="B3" t="e">
        <f>VLOOKUP(ZAKL_DATA!B13,FU!B3:C17,2,FALSE)</f>
        <v>#N/A</v>
      </c>
      <c r="E3" s="296" t="s">
        <v>423</v>
      </c>
      <c r="I3" s="296" t="s">
        <v>470</v>
      </c>
      <c r="J3" s="354">
        <f>'6Př'!F20</f>
        <v>0</v>
      </c>
      <c r="M3" s="296" t="s">
        <v>491</v>
      </c>
      <c r="N3" s="354">
        <f>'DAP2'!F27</f>
        <v>0</v>
      </c>
      <c r="O3" s="303" t="s">
        <v>3425</v>
      </c>
      <c r="R3" s="297" t="str">
        <f>IF('DAP3'!D18&lt;&gt;"",CONCATENATE(MID('DAP3'!D18,5,2),".",IF(VALUE(MID('DAP3'!D18,3,2))&lt;13,MID('DAP3'!D18,3,2),MID('DAP3'!D18,3,2)-50),".",IF(MID('DAP3'!D18,1,2)&lt;"50","20","19"),MID('DAP3'!D18,1,2)),"")</f>
        <v/>
      </c>
      <c r="S3" s="297" t="e">
        <f>IF('DAP3'!B18&lt;&gt;"XXX",MID('DAP3'!B18,(FIND(" ",'DAP3'!B18,1))+1,LEN('DAP3'!B18)),"")</f>
        <v>#VALUE!</v>
      </c>
      <c r="T3" t="str">
        <f>IF('DAP3'!F18&lt;&gt;"",'DAP3'!F18,"")</f>
        <v/>
      </c>
      <c r="U3" t="str">
        <f>IF('DAP3'!H18&lt;&gt;"",'DAP3'!H18,"")</f>
        <v/>
      </c>
      <c r="V3" t="str">
        <f>IF('DAP3'!J18&lt;&gt;"",'DAP3'!J18,"")</f>
        <v/>
      </c>
      <c r="W3" s="297" t="e">
        <f>IF('DAP3'!B18&lt;&gt;"XXX",LEFT('DAP3'!B18,(FIND(" ",'DAP3'!B18,1))-1),"")</f>
        <v>#VALUE!</v>
      </c>
      <c r="X3" s="297" t="str">
        <f>IF('DAP3'!D18&lt;&gt;"",'DAP3'!D18,"")</f>
        <v/>
      </c>
      <c r="Y3" t="str">
        <f>IF('DAP3'!G18&lt;&gt;"",'DAP3'!G18,"")</f>
        <v/>
      </c>
      <c r="Z3" t="str">
        <f>IF('DAP3'!I18&lt;&gt;"",'DAP3'!I18,"")</f>
        <v/>
      </c>
      <c r="AA3" t="str">
        <f>IF('DAP3'!K18&lt;&gt;"",'DAP3'!K18,"")</f>
        <v/>
      </c>
    </row>
    <row r="4" spans="1:27" ht="12.75" hidden="1" customHeight="1">
      <c r="A4" s="296" t="s">
        <v>354</v>
      </c>
      <c r="B4" s="297" t="str">
        <f>IF('DAP1'!K15&lt;&gt;"",TEXT('DAP1'!K15,"DD.MM.RRRR"),"")</f>
        <v/>
      </c>
      <c r="C4" s="359"/>
      <c r="E4" s="296" t="s">
        <v>424</v>
      </c>
      <c r="F4" s="352" t="str">
        <f>IF(ISNUMBER(FIND("/",ZAKL_DATA!B17)),MID(ZAKL_DATA!B17,(FIND("/",ZAKL_DATA!B17,1))+1,LEN(ZAKL_DATA!B17)),"")</f>
        <v/>
      </c>
      <c r="G4" s="303" t="s">
        <v>3425</v>
      </c>
      <c r="I4" s="296" t="s">
        <v>471</v>
      </c>
      <c r="J4" s="354">
        <f>'DAP2'!E6</f>
        <v>0</v>
      </c>
      <c r="K4" s="303" t="s">
        <v>3425</v>
      </c>
      <c r="M4" s="296" t="s">
        <v>492</v>
      </c>
      <c r="N4" s="354">
        <f>'DAP2'!F31</f>
        <v>0</v>
      </c>
      <c r="O4" s="303" t="s">
        <v>3425</v>
      </c>
      <c r="R4" s="297" t="str">
        <f>IF('DAP3'!D19&lt;&gt;"",CONCATENATE(MID('DAP3'!D19,5,2),".",IF(VALUE(MID('DAP3'!D19,3,2))&lt;13,MID('DAP3'!D19,3,2),MID('DAP3'!D19,3,2)-50),".",IF(MID('DAP3'!D19,1,2)&lt;"50","20","19"),MID('DAP3'!D19,1,2)),"")</f>
        <v/>
      </c>
      <c r="S4" s="297" t="e">
        <f>IF('DAP3'!B19&lt;&gt;"XXX",MID('DAP3'!B19,(FIND(" ",'DAP3'!B19,1))+1,LEN('DAP3'!B19)),"")</f>
        <v>#VALUE!</v>
      </c>
      <c r="T4" t="str">
        <f>IF('DAP3'!F19&lt;&gt;"",'DAP3'!F19,"")</f>
        <v/>
      </c>
      <c r="U4" t="str">
        <f>IF('DAP3'!H19&lt;&gt;"",'DAP3'!H19,"")</f>
        <v/>
      </c>
      <c r="V4" t="str">
        <f>IF('DAP3'!J19&lt;&gt;"",'DAP3'!J19,"")</f>
        <v/>
      </c>
      <c r="W4" s="297" t="e">
        <f>IF('DAP3'!B19&lt;&gt;"XXX",LEFT('DAP3'!B19,(FIND(" ",'DAP3'!B19,1))-1),"")</f>
        <v>#VALUE!</v>
      </c>
      <c r="X4" s="297" t="str">
        <f>IF('DAP3'!D19&lt;&gt;"",'DAP3'!D19,"")</f>
        <v/>
      </c>
      <c r="Y4" t="str">
        <f>IF('DAP3'!G19&lt;&gt;"",'DAP3'!G19,"")</f>
        <v/>
      </c>
      <c r="Z4" t="str">
        <f>IF('DAP3'!I19&lt;&gt;"",'DAP3'!I19,"")</f>
        <v/>
      </c>
      <c r="AA4" t="str">
        <f>IF('DAP3'!K19&lt;&gt;"",'DAP3'!K19,"")</f>
        <v/>
      </c>
    </row>
    <row r="5" spans="1:27" ht="12.75" hidden="1" customHeight="1">
      <c r="A5" s="296" t="s">
        <v>355</v>
      </c>
      <c r="B5" s="352" t="str">
        <f ca="1">TEXT('DAP4'!A43,"DD.MM.RRRR")</f>
        <v>07.01.2025</v>
      </c>
      <c r="C5" s="303" t="s">
        <v>3425</v>
      </c>
      <c r="E5" s="296" t="s">
        <v>425</v>
      </c>
      <c r="F5" s="352" t="str">
        <f>IF('DAP1'!J29&lt;&gt;"",'DAP1'!J29,"")</f>
        <v/>
      </c>
      <c r="G5" s="303" t="s">
        <v>3425</v>
      </c>
      <c r="I5" s="296" t="s">
        <v>472</v>
      </c>
      <c r="J5" s="354">
        <f>'DAP2'!E5</f>
        <v>0</v>
      </c>
      <c r="K5" s="303" t="s">
        <v>3425</v>
      </c>
      <c r="M5" s="296" t="s">
        <v>493</v>
      </c>
      <c r="N5" s="354">
        <f>'DAP2'!F24</f>
        <v>0</v>
      </c>
      <c r="O5" s="303" t="s">
        <v>3425</v>
      </c>
      <c r="R5" s="297" t="str">
        <f>IF('DAP3'!D20&lt;&gt;"",CONCATENATE(MID('DAP3'!D20,5,2),".",IF(VALUE(MID('DAP3'!D20,3,2))&lt;13,MID('DAP3'!D20,3,2),MID('DAP3'!D20,3,2)-50),".",IF(MID('DAP3'!D20,1,2)&lt;"50","20","19"),MID('DAP3'!D20,1,2)),"")</f>
        <v/>
      </c>
      <c r="S5" s="297" t="e">
        <f>IF('DAP3'!B20&lt;&gt;"XXX",MID('DAP3'!B20,(FIND(" ",'DAP3'!B20,1))+1,LEN('DAP3'!B20)),"")</f>
        <v>#VALUE!</v>
      </c>
      <c r="T5" t="str">
        <f>IF('DAP3'!F20&lt;&gt;"",'DAP3'!F20,"")</f>
        <v/>
      </c>
      <c r="U5" t="str">
        <f>IF('DAP3'!H20&lt;&gt;"",'DAP3'!H20,"")</f>
        <v/>
      </c>
      <c r="V5" t="str">
        <f>IF('DAP3'!J20&lt;&gt;"",'DAP3'!J20,"")</f>
        <v/>
      </c>
      <c r="W5" s="297" t="e">
        <f>IF('DAP3'!B20&lt;&gt;"XXX",LEFT('DAP3'!B20,(FIND(" ",'DAP3'!B20,1))-1),"")</f>
        <v>#VALUE!</v>
      </c>
      <c r="X5" s="297" t="str">
        <f>IF('DAP3'!D20&lt;&gt;"",'DAP3'!D20,"")</f>
        <v/>
      </c>
      <c r="Y5" t="str">
        <f>IF('DAP3'!G20&lt;&gt;"",'DAP3'!G20,"")</f>
        <v/>
      </c>
      <c r="Z5" t="str">
        <f>IF('DAP3'!I20&lt;&gt;"",'DAP3'!I20,"")</f>
        <v/>
      </c>
      <c r="AA5" t="str">
        <f>IF('DAP3'!K20&lt;&gt;"",'DAP3'!K20,"")</f>
        <v/>
      </c>
    </row>
    <row r="6" spans="1:27" ht="12.75" hidden="1" customHeight="1">
      <c r="A6" s="296" t="s">
        <v>356</v>
      </c>
      <c r="B6" s="352" t="str">
        <f>IF('DAP1'!K13&gt;0,TEXT('DAP1'!K13,"DD.MM.RRRR"),"")</f>
        <v/>
      </c>
      <c r="C6" s="303" t="s">
        <v>3425</v>
      </c>
      <c r="E6" s="296" t="s">
        <v>426</v>
      </c>
      <c r="F6" t="str">
        <f>IF(IF(ISNUMBER(FIND("/",ZAKL_DATA!B17)),LEFT(ZAKL_DATA!B17,(FIND("/",ZAKL_DATA!B17,1))-1),ZAKL_DATA!B17)&lt;&gt;0,IF(ISNUMBER(FIND("/",ZAKL_DATA!B17)),LEFT(ZAKL_DATA!B17,(FIND("/",ZAKL_DATA!B17,1))-1),ZAKL_DATA!B17),"")</f>
        <v/>
      </c>
      <c r="G6" s="303" t="s">
        <v>3425</v>
      </c>
      <c r="I6" s="296" t="s">
        <v>473</v>
      </c>
      <c r="K6" s="303" t="s">
        <v>3428</v>
      </c>
      <c r="M6" s="296" t="s">
        <v>494</v>
      </c>
      <c r="N6" s="354">
        <f>'DAP2'!F25</f>
        <v>0</v>
      </c>
      <c r="O6" s="303" t="s">
        <v>3425</v>
      </c>
    </row>
    <row r="7" spans="1:27" ht="12.75" hidden="1" customHeight="1">
      <c r="A7" s="296" t="s">
        <v>357</v>
      </c>
      <c r="B7" s="354">
        <f>'DAP2'!F38</f>
        <v>0</v>
      </c>
      <c r="C7" s="303" t="s">
        <v>3425</v>
      </c>
      <c r="E7" s="296" t="s">
        <v>427</v>
      </c>
      <c r="F7" t="e">
        <f>VLOOKUP(ZAKL_DATA!B14,FU!E3:F204,2,FALSE)</f>
        <v>#N/A</v>
      </c>
      <c r="G7" s="303" t="s">
        <v>3425</v>
      </c>
      <c r="I7" s="296" t="s">
        <v>474</v>
      </c>
      <c r="J7" s="354">
        <f>'DAP2'!E4</f>
        <v>0</v>
      </c>
      <c r="K7" s="303" t="s">
        <v>3425</v>
      </c>
      <c r="M7" s="296" t="s">
        <v>495</v>
      </c>
      <c r="N7" s="354">
        <f>'DAP2'!F26</f>
        <v>0</v>
      </c>
      <c r="O7" s="303" t="s">
        <v>3425</v>
      </c>
      <c r="R7" s="378"/>
      <c r="S7" s="303" t="s">
        <v>3425</v>
      </c>
      <c r="T7" s="303" t="s">
        <v>3425</v>
      </c>
      <c r="U7" s="303" t="s">
        <v>3425</v>
      </c>
      <c r="V7" s="303" t="s">
        <v>3425</v>
      </c>
    </row>
    <row r="8" spans="1:27" ht="12.75" hidden="1" customHeight="1">
      <c r="A8" s="296" t="s">
        <v>358</v>
      </c>
      <c r="B8" s="354">
        <f>'DAP2'!F41</f>
        <v>0</v>
      </c>
      <c r="C8" s="303" t="s">
        <v>3425</v>
      </c>
      <c r="E8" s="296" t="s">
        <v>428</v>
      </c>
      <c r="F8" s="352" t="str">
        <f>IF(ZAKL_DATA!B25&lt;&gt;"",ZAKL_DATA!B25,"")</f>
        <v/>
      </c>
      <c r="G8" t="s">
        <v>3425</v>
      </c>
      <c r="I8" s="296" t="s">
        <v>475</v>
      </c>
      <c r="J8" s="354">
        <f>'DAP2'!E17</f>
        <v>0</v>
      </c>
      <c r="K8" s="303" t="s">
        <v>3425</v>
      </c>
      <c r="M8" s="296" t="s">
        <v>496</v>
      </c>
      <c r="N8" s="354">
        <f>'DAP2'!F22</f>
        <v>0</v>
      </c>
      <c r="O8" s="303" t="s">
        <v>3425</v>
      </c>
    </row>
    <row r="9" spans="1:27" ht="12.75" hidden="1" customHeight="1">
      <c r="A9" s="296" t="s">
        <v>359</v>
      </c>
      <c r="B9" s="354">
        <f>'DAP3'!E12</f>
        <v>0</v>
      </c>
      <c r="C9" s="303" t="s">
        <v>3425</v>
      </c>
      <c r="E9" s="296" t="s">
        <v>429</v>
      </c>
      <c r="F9" s="297" t="str">
        <f>MID(ZAKL_DATA!D2,3,10)</f>
        <v/>
      </c>
      <c r="G9" t="s">
        <v>3425</v>
      </c>
      <c r="I9" s="296" t="s">
        <v>476</v>
      </c>
      <c r="J9" s="354">
        <f>'DAP2'!E8</f>
        <v>0</v>
      </c>
      <c r="K9" s="303" t="s">
        <v>3425</v>
      </c>
      <c r="M9" s="296" t="s">
        <v>497</v>
      </c>
      <c r="N9" s="354">
        <f>'DAP2'!F23</f>
        <v>0</v>
      </c>
      <c r="O9" s="303" t="s">
        <v>3425</v>
      </c>
    </row>
    <row r="10" spans="1:27" ht="12.75" hidden="1" customHeight="1">
      <c r="A10" s="296" t="s">
        <v>360</v>
      </c>
      <c r="B10" s="354">
        <f>'DAP3'!D26</f>
        <v>0</v>
      </c>
      <c r="C10" s="303" t="s">
        <v>3425</v>
      </c>
      <c r="E10" s="296" t="s">
        <v>430</v>
      </c>
      <c r="F10" s="352" t="str">
        <f>IF(ZAKL_DATA!B27&lt;&gt;"",ZAKL_DATA!B27,"")</f>
        <v/>
      </c>
      <c r="G10" t="s">
        <v>3425</v>
      </c>
      <c r="I10" s="296" t="s">
        <v>477</v>
      </c>
      <c r="J10" s="354">
        <f>'DAP2'!E15</f>
        <v>0</v>
      </c>
      <c r="K10" s="303" t="s">
        <v>3425</v>
      </c>
      <c r="M10" s="296" t="s">
        <v>498</v>
      </c>
      <c r="N10" s="354">
        <f>'DAP2'!F28</f>
        <v>0</v>
      </c>
      <c r="O10" s="303" t="s">
        <v>3425</v>
      </c>
    </row>
    <row r="11" spans="1:27" ht="12.75" hidden="1" customHeight="1">
      <c r="A11" s="296" t="s">
        <v>361</v>
      </c>
      <c r="B11" s="355">
        <f>'DAP2'!F36</f>
        <v>0</v>
      </c>
      <c r="C11" s="303" t="s">
        <v>3425</v>
      </c>
      <c r="E11" s="296" t="s">
        <v>431</v>
      </c>
      <c r="F11" s="352" t="str">
        <f>IF(ZAKL_DATA!B4&lt;&gt;"",ZAKL_DATA!B4,"")</f>
        <v/>
      </c>
      <c r="G11" t="s">
        <v>3425</v>
      </c>
      <c r="I11" s="296" t="s">
        <v>478</v>
      </c>
      <c r="J11" s="354">
        <f>'DAP2'!E15</f>
        <v>0</v>
      </c>
      <c r="K11" s="303" t="s">
        <v>3425</v>
      </c>
      <c r="M11" s="296" t="s">
        <v>499</v>
      </c>
      <c r="N11" s="354">
        <f>'DAP2'!F29</f>
        <v>0</v>
      </c>
      <c r="O11" s="303" t="s">
        <v>3425</v>
      </c>
      <c r="X11" s="303"/>
    </row>
    <row r="12" spans="1:27" ht="12.75" hidden="1" customHeight="1">
      <c r="A12" s="296" t="s">
        <v>362</v>
      </c>
      <c r="B12" s="352" t="str">
        <f>IF(AND('DAP1'!A13&lt;&gt;"",'DAP1'!C13&lt;&gt;"",'DAP1'!E13=""),"O",IF(AND('DAP1'!A13&lt;&gt;"",'DAP1'!C13="",'DAP1'!E13=""),"B",IF(AND('DAP1'!A13="",'DAP1'!C13&lt;&gt;"",'DAP1'!E13&lt;&gt;""),"E",IF(AND('DAP1'!A13="",'DAP1'!C13="",'DAP1'!E13&lt;&gt;""),"D",""))))</f>
        <v>B</v>
      </c>
      <c r="C12" s="303" t="s">
        <v>3425</v>
      </c>
      <c r="E12" s="296" t="s">
        <v>432</v>
      </c>
      <c r="F12" s="297" t="str">
        <f>IF(AND(ZAKL_DATA!B20&lt;&gt;"",ZAKL_DATA!B20&lt;&gt;0),IF(ZAKL_DATA!B20&lt;&gt;"ČESKÁ REPUBLIKA",VLOOKUP(ZAKL_DATA!B20,FU!J3:K253,2,FALSE),"CZ"),"CZ")</f>
        <v>CZ</v>
      </c>
      <c r="G12" t="s">
        <v>3425</v>
      </c>
      <c r="I12" s="296" t="s">
        <v>479</v>
      </c>
      <c r="J12" s="354">
        <f>'DAP2'!E10</f>
        <v>0</v>
      </c>
      <c r="K12" s="303" t="s">
        <v>3425</v>
      </c>
      <c r="M12" s="296" t="s">
        <v>500</v>
      </c>
      <c r="N12" s="354">
        <f>'DAP2'!F29</f>
        <v>0</v>
      </c>
      <c r="O12" s="303" t="s">
        <v>3425</v>
      </c>
    </row>
    <row r="13" spans="1:27" ht="12.75" hidden="1" customHeight="1">
      <c r="A13" s="296" t="s">
        <v>363</v>
      </c>
      <c r="B13" s="366" t="s">
        <v>3859</v>
      </c>
      <c r="C13" s="303" t="s">
        <v>3426</v>
      </c>
      <c r="E13" s="296" t="s">
        <v>433</v>
      </c>
      <c r="I13" s="296" t="s">
        <v>480</v>
      </c>
      <c r="J13" s="354">
        <f>'DAP2'!E19</f>
        <v>0</v>
      </c>
      <c r="K13" s="303" t="s">
        <v>3425</v>
      </c>
      <c r="M13" s="296" t="s">
        <v>501</v>
      </c>
      <c r="N13" s="354">
        <f>'DAP2'!F32</f>
        <v>0</v>
      </c>
      <c r="O13" s="303" t="s">
        <v>3425</v>
      </c>
    </row>
    <row r="14" spans="1:27" ht="12.75" hidden="1" customHeight="1">
      <c r="A14" s="296" t="s">
        <v>364</v>
      </c>
      <c r="B14" s="352" t="str">
        <f>IF(OR('DAP1'!A15="i",'DAP1'!A15="I"),"I",IF(OR('DAP1'!A15="g",'DAP1'!A15="G"),"G",""))</f>
        <v/>
      </c>
      <c r="C14" s="303" t="s">
        <v>3425</v>
      </c>
      <c r="E14" s="296" t="s">
        <v>434</v>
      </c>
      <c r="F14" s="352" t="str">
        <f>IF(ISNUMBER(FIND("/",'DAP1'!J35)),MID('DAP1'!J35,(FIND("/",'DAP1'!J35,1))+1,LEN('DAP1'!J35)),"")</f>
        <v/>
      </c>
      <c r="I14" s="296" t="s">
        <v>481</v>
      </c>
      <c r="J14" s="354">
        <f>'DAP2'!E16</f>
        <v>0</v>
      </c>
      <c r="K14" s="303" t="s">
        <v>3425</v>
      </c>
      <c r="M14" s="296" t="s">
        <v>502</v>
      </c>
      <c r="N14" s="354">
        <f>'DAP2'!F33</f>
        <v>0</v>
      </c>
      <c r="O14" s="303" t="s">
        <v>3425</v>
      </c>
      <c r="Y14" s="377"/>
    </row>
    <row r="15" spans="1:27" ht="12.75" hidden="1" customHeight="1">
      <c r="A15" s="296" t="s">
        <v>365</v>
      </c>
      <c r="B15" s="352" t="s">
        <v>3427</v>
      </c>
      <c r="C15" s="303" t="s">
        <v>3426</v>
      </c>
      <c r="E15" s="296" t="s">
        <v>435</v>
      </c>
      <c r="F15" t="str">
        <f>IF(IF(ISNUMBER(FIND("/",'DAP1'!J35)),LEFT('DAP1'!J35,(FIND("/",'DAP1'!J35,1))-1),'DAP1'!J35)&lt;&gt;0,IF(ISNUMBER(FIND("/",'DAP1'!J35)),LEFT('DAP1'!J35,(FIND("/",'DAP1'!J35,1))-1),'DAP1'!J35),"")</f>
        <v/>
      </c>
      <c r="I15" s="296" t="s">
        <v>482</v>
      </c>
      <c r="J15" s="354">
        <f>'DAP2'!E12</f>
        <v>0</v>
      </c>
      <c r="K15" s="303" t="s">
        <v>3425</v>
      </c>
      <c r="M15" s="296" t="s">
        <v>503</v>
      </c>
      <c r="N15">
        <f>'DAP2'!E29</f>
        <v>0</v>
      </c>
      <c r="O15" s="303" t="s">
        <v>3425</v>
      </c>
    </row>
    <row r="16" spans="1:27" ht="12.75" hidden="1" customHeight="1">
      <c r="A16" s="296" t="s">
        <v>366</v>
      </c>
      <c r="B16">
        <f>'DAP1'!K41</f>
        <v>0</v>
      </c>
      <c r="C16" s="303" t="s">
        <v>3425</v>
      </c>
      <c r="E16" s="296" t="s">
        <v>436</v>
      </c>
      <c r="F16" s="352" t="str">
        <f>IF('DAP1'!B35&lt;&gt;"",'DAP1'!B35,"")</f>
        <v/>
      </c>
      <c r="I16" s="296" t="s">
        <v>483</v>
      </c>
      <c r="J16" s="354">
        <f>'DAP2'!E14</f>
        <v>0</v>
      </c>
      <c r="K16" s="303" t="s">
        <v>3425</v>
      </c>
      <c r="M16" s="296" t="s">
        <v>504</v>
      </c>
      <c r="N16">
        <f>'DAP2'!E23</f>
        <v>0</v>
      </c>
      <c r="O16" s="303" t="s">
        <v>3425</v>
      </c>
    </row>
    <row r="17" spans="1:23" ht="12.75" hidden="1" customHeight="1">
      <c r="A17" s="296" t="s">
        <v>367</v>
      </c>
      <c r="B17" s="354">
        <f>'DAP3'!D29</f>
        <v>0</v>
      </c>
      <c r="C17" s="303" t="s">
        <v>3425</v>
      </c>
      <c r="E17" s="296" t="s">
        <v>437</v>
      </c>
      <c r="F17" s="352" t="str">
        <f>IF('DAP1'!L35&lt;&gt;"",'DAP1'!L35,"")</f>
        <v/>
      </c>
      <c r="I17" s="296" t="s">
        <v>484</v>
      </c>
      <c r="J17" s="354">
        <f>'DAP2'!E10</f>
        <v>0</v>
      </c>
      <c r="K17" s="303" t="s">
        <v>3425</v>
      </c>
      <c r="M17" s="296" t="s">
        <v>505</v>
      </c>
      <c r="N17" s="297">
        <f>'DAP2'!C29</f>
        <v>0</v>
      </c>
      <c r="O17" s="303" t="s">
        <v>3425</v>
      </c>
    </row>
    <row r="18" spans="1:23" ht="12.75" hidden="1" customHeight="1">
      <c r="A18" s="296" t="s">
        <v>368</v>
      </c>
      <c r="B18" s="354">
        <f>'DAP3'!D23</f>
        <v>0</v>
      </c>
      <c r="C18" s="303" t="s">
        <v>3425</v>
      </c>
      <c r="E18" s="296" t="s">
        <v>438</v>
      </c>
      <c r="F18" s="352" t="str">
        <f>IF('DAP1'!G35&lt;&gt;"",'DAP1'!G35,"")</f>
        <v/>
      </c>
      <c r="I18" s="296" t="s">
        <v>485</v>
      </c>
      <c r="J18" s="354">
        <f>'DAP2'!E7</f>
        <v>0</v>
      </c>
      <c r="K18" s="303" t="s">
        <v>3425</v>
      </c>
    </row>
    <row r="19" spans="1:23" ht="12.75" hidden="1" customHeight="1">
      <c r="A19" s="296" t="s">
        <v>369</v>
      </c>
      <c r="B19" s="354">
        <f>'DAP3'!E9</f>
        <v>0</v>
      </c>
      <c r="C19" s="303" t="s">
        <v>3425</v>
      </c>
      <c r="E19" s="296" t="s">
        <v>439</v>
      </c>
      <c r="F19" s="297" t="str">
        <f>IF(ZAKL_DATA!B18&lt;&gt;"",ZAKL_DATA!B18,"")</f>
        <v/>
      </c>
      <c r="G19" t="s">
        <v>3425</v>
      </c>
      <c r="I19" s="296" t="s">
        <v>486</v>
      </c>
      <c r="J19" s="354">
        <f>'DAP2'!E11</f>
        <v>0</v>
      </c>
      <c r="K19" s="303" t="s">
        <v>3425</v>
      </c>
    </row>
    <row r="20" spans="1:23" ht="12.75" hidden="1" customHeight="1">
      <c r="A20" s="296" t="s">
        <v>370</v>
      </c>
      <c r="B20" s="354">
        <f>'DAP2'!F39</f>
        <v>0</v>
      </c>
      <c r="C20" s="303" t="s">
        <v>3425</v>
      </c>
      <c r="E20" s="296" t="s">
        <v>440</v>
      </c>
      <c r="F20" s="297" t="str">
        <f>IF(AND(ZAKL_DATA!D4&lt;&gt;"",ZAKL_DATA!D14&lt;&gt;"",'DAP4'!C30&lt;&gt;"4a",'DAP4'!C30&lt;&gt;"4b"),ZAKL_DATA!D14,"")</f>
        <v/>
      </c>
      <c r="G20" t="s">
        <v>3436</v>
      </c>
      <c r="I20" s="296" t="s">
        <v>487</v>
      </c>
      <c r="J20" s="354">
        <f>'DAP2'!E13</f>
        <v>0</v>
      </c>
      <c r="K20" s="303" t="s">
        <v>3425</v>
      </c>
      <c r="Q20" t="s">
        <v>587</v>
      </c>
      <c r="R20" s="296" t="s">
        <v>565</v>
      </c>
      <c r="S20" s="299" t="s">
        <v>566</v>
      </c>
      <c r="T20" s="299" t="s">
        <v>563</v>
      </c>
      <c r="U20" s="299" t="s">
        <v>567</v>
      </c>
    </row>
    <row r="21" spans="1:23" ht="12.75" hidden="1" customHeight="1">
      <c r="A21" s="296" t="s">
        <v>371</v>
      </c>
      <c r="B21" s="354">
        <f>'DAP3'!D47</f>
        <v>0</v>
      </c>
      <c r="C21" s="303" t="s">
        <v>3425</v>
      </c>
      <c r="E21" s="296" t="s">
        <v>441</v>
      </c>
      <c r="F21" s="297" t="str">
        <f>IF(AND(ZAKL_DATA!D4&lt;&gt;"",ZAKL_DATA!D17&lt;&gt;"",'DAP4'!C30&lt;&gt;"4a",'DAP4'!C30&lt;&gt;"4b"),ZAKL_DATA!D17,"")</f>
        <v/>
      </c>
      <c r="G21" t="s">
        <v>3436</v>
      </c>
      <c r="I21" s="296" t="s">
        <v>488</v>
      </c>
      <c r="J21" s="354">
        <f>'DAP2'!E18</f>
        <v>0</v>
      </c>
      <c r="K21" s="303" t="s">
        <v>3425</v>
      </c>
      <c r="R21" t="str">
        <f t="shared" ref="R21:R23" si="0">IF(ISNUMBER(W21),IF(VALUE(W21)&gt;99999,VALUE(W21),IF(VALUE(W21)&gt;9999,VALUE(W21)*10,IF(VALUE(W21)&gt;999,VALUE(W21)*100,IF(VALUE(W21)&gt;99,VALUE(W21)*1000,IF(VALUE(W21)&gt;9,VALUE(W21)*10000,VALUE(W21)*100000))))),"")</f>
        <v/>
      </c>
      <c r="S21" s="354" t="str">
        <f>IF('1Př1'!F32&lt;&gt;0,'1Př1'!F32,"")</f>
        <v/>
      </c>
      <c r="T21" t="str">
        <f>IF(AND('1Př1'!D32&lt;&gt;0,'1Př1'!D32&lt;&gt;""),100*'1Př1'!D32,"")</f>
        <v/>
      </c>
      <c r="U21" s="354" t="str">
        <f>IF(ISNUMBER(W21),'1Př1'!H32,"")</f>
        <v/>
      </c>
      <c r="W21" t="e">
        <f>UPPER(VLOOKUP('1Př1'!A32,FU!N3:O992,2,FALSE))</f>
        <v>#N/A</v>
      </c>
    </row>
    <row r="22" spans="1:23" ht="12.75" hidden="1" customHeight="1">
      <c r="A22" s="296" t="s">
        <v>372</v>
      </c>
      <c r="B22" s="354">
        <f>'DAP3'!E4</f>
        <v>0</v>
      </c>
      <c r="C22" s="303" t="s">
        <v>3425</v>
      </c>
      <c r="E22" s="296" t="s">
        <v>442</v>
      </c>
      <c r="F22" s="297" t="str">
        <f>IF(AND(ZAKL_DATA!D4&lt;&gt;"",ZAKL_DATA!D15&lt;&gt;"",'DAP4'!C30&lt;&gt;"4a",'DAP4'!C30&lt;&gt;"4b"),ZAKL_DATA!D15,"")</f>
        <v/>
      </c>
      <c r="G22" t="s">
        <v>3436</v>
      </c>
      <c r="R22" t="str">
        <f t="shared" si="0"/>
        <v/>
      </c>
      <c r="S22" s="354" t="str">
        <f>IF('1Př1'!F33&lt;&gt;0,'1Př1'!F33,"")</f>
        <v/>
      </c>
      <c r="T22" t="str">
        <f>IF(AND('1Př1'!D33&lt;&gt;0,'1Př1'!D33&lt;&gt;""),100*'1Př1'!D33,"")</f>
        <v/>
      </c>
      <c r="U22" s="354" t="str">
        <f>IF(ISNUMBER(W22),'1Př1'!H33,"")</f>
        <v/>
      </c>
      <c r="W22" t="e">
        <f>UPPER(VLOOKUP('1Př1'!A33,FU!N3:O992,2,FALSE))</f>
        <v>#N/A</v>
      </c>
    </row>
    <row r="23" spans="1:23" ht="12.75" hidden="1" customHeight="1">
      <c r="A23" s="296" t="s">
        <v>373</v>
      </c>
      <c r="B23" s="354">
        <f>'DAP3'!E2</f>
        <v>30840</v>
      </c>
      <c r="C23" s="303" t="s">
        <v>3425</v>
      </c>
      <c r="E23" s="296" t="s">
        <v>443</v>
      </c>
      <c r="F23" s="352" t="str">
        <f>IF(ZAKL_DATA!B5&lt;&gt;"",ZAKL_DATA!B5,"")</f>
        <v/>
      </c>
      <c r="G23" t="s">
        <v>3425</v>
      </c>
      <c r="R23" t="str">
        <f t="shared" si="0"/>
        <v/>
      </c>
      <c r="S23" s="354" t="str">
        <f>IF('1Př1'!F34&lt;&gt;0,'1Př1'!F34,"")</f>
        <v/>
      </c>
      <c r="T23" t="str">
        <f>IF(AND('1Př1'!D34&lt;&gt;0,'1Př1'!D34&lt;&gt;""),100*'1Př1'!D34,"")</f>
        <v/>
      </c>
      <c r="U23" s="354" t="str">
        <f>IF(ISNUMBER(W23),'1Př1'!H34,"")</f>
        <v/>
      </c>
      <c r="W23" t="e">
        <f>UPPER(VLOOKUP('1Př1'!A34,FU!N3:O992,2,FALSE))</f>
        <v>#N/A</v>
      </c>
    </row>
    <row r="24" spans="1:23" ht="12.75" hidden="1" customHeight="1">
      <c r="A24" s="296" t="s">
        <v>374</v>
      </c>
      <c r="B24" s="354">
        <f>'DAP3'!E3</f>
        <v>0</v>
      </c>
      <c r="C24" s="303" t="s">
        <v>3425</v>
      </c>
      <c r="E24" s="296" t="s">
        <v>444</v>
      </c>
      <c r="F24" s="352" t="str">
        <f>IF(ZAKL_DATA!B19&lt;&gt;"",ZAKL_DATA!B19,"")</f>
        <v/>
      </c>
      <c r="G24" t="s">
        <v>3425</v>
      </c>
      <c r="K24" t="e">
        <f>LEN(LEFT('DAP3'!#REF!,(FIND(" ",'DAP3'!#REF!,1))))</f>
        <v>#REF!</v>
      </c>
    </row>
    <row r="25" spans="1:23" ht="12.75" hidden="1" customHeight="1">
      <c r="A25" s="296" t="s">
        <v>375</v>
      </c>
      <c r="B25" s="354">
        <f>'DAP3'!E5</f>
        <v>0</v>
      </c>
      <c r="C25" s="303" t="s">
        <v>3425</v>
      </c>
      <c r="E25" s="296" t="s">
        <v>445</v>
      </c>
      <c r="F25" s="352" t="str">
        <f>IF(ZAKL_DATA!B9&lt;&gt;"",ZAKL_DATA!B9,"")</f>
        <v/>
      </c>
      <c r="G25" t="s">
        <v>3425</v>
      </c>
      <c r="K25" t="e">
        <f>FIND(" ",'DAP3'!#REF!,LEN(LEFT('DAP3'!#REF!,(FIND(" ",'DAP3'!#REF!,1))))+1)-1</f>
        <v>#REF!</v>
      </c>
      <c r="L25" t="e">
        <f>LEN('DAP3'!#REF!)-LEN(LEFT('DAP3'!#REF!,(FIND(" ",'DAP3'!#REF!,1))))</f>
        <v>#REF!</v>
      </c>
      <c r="R25" t="s">
        <v>3425</v>
      </c>
      <c r="S25" t="s">
        <v>3425</v>
      </c>
      <c r="T25" t="s">
        <v>3425</v>
      </c>
      <c r="U25" t="s">
        <v>3425</v>
      </c>
    </row>
    <row r="26" spans="1:23" ht="12.75" hidden="1" customHeight="1">
      <c r="A26" s="296" t="s">
        <v>376</v>
      </c>
      <c r="B26" s="354">
        <f>'DAP3'!E6</f>
        <v>0</v>
      </c>
      <c r="C26" s="303" t="s">
        <v>3425</v>
      </c>
      <c r="E26" s="296" t="s">
        <v>446</v>
      </c>
      <c r="F26" s="352" t="str">
        <f>IF(ZAKL_DATA!B6&lt;&gt;"",ZAKL_DATA!B6,"")</f>
        <v/>
      </c>
      <c r="G26" t="s">
        <v>3425</v>
      </c>
      <c r="K26" t="e">
        <f>LEFT('DAP3'!#REF!,(FIND(" ",'DAP3'!#REF!,1))-1)</f>
        <v>#REF!</v>
      </c>
      <c r="L26" t="e">
        <f>FIND(" ",'DAP3'!#REF!,LEN(LEFT('DAP3'!#REF!,(FIND(" ",'DAP3'!#REF!,1))))+1)-LEN(LEFT('DAP3'!#REF!,(FIND(" ",'DAP3'!#REF!,1))))</f>
        <v>#REF!</v>
      </c>
    </row>
    <row r="27" spans="1:23" ht="12.75" hidden="1" customHeight="1">
      <c r="A27" s="296" t="s">
        <v>377</v>
      </c>
      <c r="B27" s="354">
        <f>'DAP3'!E7</f>
        <v>0</v>
      </c>
      <c r="C27" s="303" t="s">
        <v>3425</v>
      </c>
      <c r="E27" s="296" t="s">
        <v>447</v>
      </c>
      <c r="F27" s="297"/>
      <c r="G27" s="303" t="s">
        <v>3429</v>
      </c>
      <c r="K27" t="e">
        <f>MID('DAP3'!#REF!,FIND(" ",'DAP3'!#REF!,LEN(LEFT('DAP3'!#REF!,(FIND(" ",'DAP3'!#REF!,1))))+1)+1,LEN('DAP3'!#REF!)-LEN(LEFT('DAP3'!#REF!,(FIND(" ",'DAP3'!#REF!,1))))+1)</f>
        <v>#REF!</v>
      </c>
    </row>
    <row r="28" spans="1:23" ht="12.75" hidden="1" customHeight="1">
      <c r="A28" s="296" t="s">
        <v>378</v>
      </c>
      <c r="B28" s="354">
        <f>'DAP3'!D42</f>
        <v>0</v>
      </c>
      <c r="C28" s="303" t="s">
        <v>3425</v>
      </c>
      <c r="E28" s="296" t="s">
        <v>448</v>
      </c>
      <c r="F28" s="352" t="str">
        <f>IF(AND(ZAKL_DATA!B20&lt;&gt;"ČESKÁ REPUBLIKA",ZAKL_DATA!B20&lt;&gt;""), VLOOKUP(ZAKL_DATA!B20,FU!J3:K253,2,FALSE), "")</f>
        <v/>
      </c>
      <c r="G28" s="303" t="s">
        <v>3425</v>
      </c>
    </row>
    <row r="29" spans="1:23" ht="12.75" hidden="1" customHeight="1">
      <c r="A29" s="296" t="s">
        <v>379</v>
      </c>
      <c r="B29" s="354"/>
      <c r="C29" s="303" t="s">
        <v>3428</v>
      </c>
      <c r="E29" s="296" t="s">
        <v>449</v>
      </c>
      <c r="F29" s="352" t="str">
        <f>IF(ZAKL_DATA!B7&lt;&gt;"",ZAKL_DATA!B7,"")</f>
        <v/>
      </c>
      <c r="G29" s="303" t="s">
        <v>3425</v>
      </c>
    </row>
    <row r="30" spans="1:23" ht="12.75" hidden="1" customHeight="1">
      <c r="A30" s="296" t="s">
        <v>380</v>
      </c>
      <c r="B30" s="354" t="str">
        <f>IF(AND('DAP3'!D33&lt;&gt;"",'DAP3'!D33&lt;&gt;0),'DAP3'!D33,"")</f>
        <v/>
      </c>
      <c r="C30" s="303" t="s">
        <v>3425</v>
      </c>
      <c r="E30" s="296" t="s">
        <v>450</v>
      </c>
      <c r="F30" s="352" t="str">
        <f>IF(ZAKL_DATA!B16&lt;&gt;"",ZAKL_DATA!B16,"")</f>
        <v/>
      </c>
      <c r="G30" s="303" t="s">
        <v>3425</v>
      </c>
      <c r="I30" t="s">
        <v>512</v>
      </c>
      <c r="M30" t="s">
        <v>534</v>
      </c>
    </row>
    <row r="31" spans="1:23" ht="12.75" hidden="1" customHeight="1">
      <c r="A31" s="296" t="s">
        <v>381</v>
      </c>
      <c r="B31" s="354" t="str">
        <f>IF(AND('DAP3'!D36&lt;&gt;"",'DAP3'!D36&lt;&gt;0),'DAP3'!D36,"")</f>
        <v/>
      </c>
      <c r="C31" s="303" t="s">
        <v>3425</v>
      </c>
      <c r="E31" s="296" t="s">
        <v>451</v>
      </c>
      <c r="F31" s="352" t="str">
        <f>IF(ISNUMBER('DAP1'!I39),'DAP1'!I39,"")</f>
        <v/>
      </c>
      <c r="I31" s="296" t="s">
        <v>513</v>
      </c>
      <c r="J31">
        <f>'DAP4'!K25</f>
        <v>0</v>
      </c>
      <c r="K31" t="s">
        <v>3425</v>
      </c>
      <c r="M31" s="296" t="s">
        <v>535</v>
      </c>
      <c r="N31" t="e">
        <f>IF(VALUE(O31)&gt;99999,VALUE(O31),IF(VALUE(O31)&gt;9999,VALUE(O31)*10,IF(VALUE(O31)&gt;999,VALUE(O31)*100,IF(VALUE(O31)&gt;99,VALUE(O31)*1000,IF(VALUE(O31)&gt;9,VALUE(O31)*10000,VALUE(O31)*100000)))))</f>
        <v>#N/A</v>
      </c>
      <c r="O31" t="e">
        <f>UPPER(VLOOKUP(ZAKL_DATA!B29,FU!N3:O1699,2,FALSE))</f>
        <v>#N/A</v>
      </c>
    </row>
    <row r="32" spans="1:23" ht="12.75" hidden="1" customHeight="1">
      <c r="A32" s="296" t="s">
        <v>382</v>
      </c>
      <c r="B32" s="354">
        <f>'DAP3'!D31</f>
        <v>0</v>
      </c>
      <c r="C32" s="303" t="s">
        <v>3425</v>
      </c>
      <c r="E32" s="296" t="s">
        <v>452</v>
      </c>
      <c r="I32" s="296" t="s">
        <v>514</v>
      </c>
      <c r="J32">
        <f>'DAP4'!K10</f>
        <v>0</v>
      </c>
      <c r="K32" t="s">
        <v>3425</v>
      </c>
      <c r="M32" s="296" t="s">
        <v>536</v>
      </c>
      <c r="N32" s="354">
        <f>'1Př1'!F35</f>
        <v>0</v>
      </c>
      <c r="O32" s="303" t="s">
        <v>3425</v>
      </c>
    </row>
    <row r="33" spans="1:19" ht="12.75" hidden="1" customHeight="1">
      <c r="A33" s="296" t="s">
        <v>383</v>
      </c>
      <c r="B33" s="354" t="str">
        <f>IF(AND('DAP3'!D35&lt;&gt;"",'DAP3'!D35&lt;&gt;0),'DAP3'!D35,"")</f>
        <v/>
      </c>
      <c r="C33" s="303" t="s">
        <v>3425</v>
      </c>
      <c r="E33" s="296" t="s">
        <v>453</v>
      </c>
      <c r="F33" s="352" t="str">
        <f>IF(ISNUMBER(FIND("/",'DAP1'!L38)),MID('DAP1'!L38,(FIND("/",'DAP1'!L38,1))+1,LEN('DAP1'!L38)),"")</f>
        <v/>
      </c>
      <c r="I33" s="296" t="s">
        <v>515</v>
      </c>
      <c r="J33">
        <f>'DAP4'!K18</f>
        <v>0</v>
      </c>
      <c r="K33" t="s">
        <v>3425</v>
      </c>
      <c r="M33" s="296" t="s">
        <v>537</v>
      </c>
      <c r="N33" s="354">
        <f>'1Př1'!H35</f>
        <v>0</v>
      </c>
      <c r="O33" s="303" t="s">
        <v>3425</v>
      </c>
    </row>
    <row r="34" spans="1:19" ht="12.75" hidden="1" customHeight="1">
      <c r="A34" s="296" t="s">
        <v>384</v>
      </c>
      <c r="B34" s="354" t="str">
        <f>IF(AND('DAP3'!D38&lt;&gt;"",'DAP3'!D38&lt;&gt;0),'DAP3'!D38,"")</f>
        <v/>
      </c>
      <c r="C34" s="303" t="s">
        <v>3425</v>
      </c>
      <c r="E34" s="296" t="s">
        <v>454</v>
      </c>
      <c r="F34" t="str">
        <f>IF(IF(ISNUMBER(FIND("/",'DAP1'!L38)),LEFT('DAP1'!L38,(FIND("/",'DAP1'!L38,1))-1),'DAP1'!L38)&lt;&gt;0,IF(ISNUMBER(FIND("/",'DAP1'!L38)),LEFT('DAP1'!L38,(FIND("/",'DAP1'!L38,1))-1),'DAP1'!L38),"")</f>
        <v/>
      </c>
      <c r="I34" s="296" t="s">
        <v>516</v>
      </c>
      <c r="K34" s="303" t="s">
        <v>3667</v>
      </c>
      <c r="M34" s="296" t="s">
        <v>538</v>
      </c>
      <c r="N34" s="352" t="str">
        <f>IF('1Př2'!F3&lt;&gt;0,TEXT('1Př2'!F3,"DD.MM.RRRR"),"")</f>
        <v/>
      </c>
      <c r="O34" s="303" t="s">
        <v>3425</v>
      </c>
    </row>
    <row r="35" spans="1:19" ht="12.75" hidden="1" customHeight="1">
      <c r="A35" s="296" t="s">
        <v>385</v>
      </c>
      <c r="B35" s="354">
        <f>'DAP3'!D24</f>
        <v>0</v>
      </c>
      <c r="C35" s="303" t="s">
        <v>3425</v>
      </c>
      <c r="E35" s="296" t="s">
        <v>455</v>
      </c>
      <c r="F35" s="352" t="str">
        <f>IF('DAP1'!F39&lt;&gt;"",'DAP1'!F39,"")</f>
        <v/>
      </c>
      <c r="I35" s="296" t="s">
        <v>517</v>
      </c>
      <c r="J35">
        <f>'DAP4'!K19</f>
        <v>0</v>
      </c>
      <c r="K35" t="s">
        <v>3425</v>
      </c>
      <c r="M35" s="296" t="s">
        <v>539</v>
      </c>
      <c r="N35" s="352" t="str">
        <f>IF('1Př2'!C3&lt;&gt;0,TEXT('1Př2'!C3,"DD.MM.RRRR"),"")</f>
        <v/>
      </c>
      <c r="O35" s="303" t="s">
        <v>3425</v>
      </c>
    </row>
    <row r="36" spans="1:19" ht="12.75" hidden="1" customHeight="1">
      <c r="A36" s="296" t="s">
        <v>386</v>
      </c>
      <c r="B36" s="355">
        <f>'DAP2'!F37</f>
        <v>0</v>
      </c>
      <c r="C36" s="303" t="s">
        <v>3425</v>
      </c>
      <c r="E36" s="296" t="s">
        <v>456</v>
      </c>
      <c r="F36" s="352" t="str">
        <f>IF(ISNUMBER(FIND("@",'DAP1'!I39)),'DAP1'!I39,"")</f>
        <v/>
      </c>
      <c r="I36" s="296" t="s">
        <v>518</v>
      </c>
      <c r="J36">
        <f>'DAP4'!K15</f>
        <v>0</v>
      </c>
      <c r="K36" t="s">
        <v>3425</v>
      </c>
      <c r="M36" s="296" t="s">
        <v>540</v>
      </c>
      <c r="N36" s="352" t="str">
        <f>IF('1Př2'!E3&lt;&gt;0,TEXT('1Př2'!E3,"DD.MM.RRRR"),"")</f>
        <v/>
      </c>
      <c r="O36" s="303" t="s">
        <v>3425</v>
      </c>
    </row>
    <row r="37" spans="1:19" ht="12.75" hidden="1" customHeight="1">
      <c r="A37" s="296" t="s">
        <v>387</v>
      </c>
      <c r="B37" s="354">
        <f>'DAP3'!D43</f>
        <v>0</v>
      </c>
      <c r="C37" s="303" t="s">
        <v>3425</v>
      </c>
      <c r="E37" s="296" t="s">
        <v>457</v>
      </c>
      <c r="F37" s="352" t="str">
        <f>IF('DAP1'!B38&lt;&gt;"",'DAP1'!B38,"")</f>
        <v/>
      </c>
      <c r="I37" s="296" t="s">
        <v>519</v>
      </c>
      <c r="J37">
        <f>'DAP4'!K16</f>
        <v>0</v>
      </c>
      <c r="K37" t="s">
        <v>3425</v>
      </c>
      <c r="M37" s="296" t="s">
        <v>541</v>
      </c>
      <c r="N37" s="352" t="str">
        <f>IF('1Př2'!A3&lt;&gt;0,TEXT('1Př2'!A3,"DD.MM.RRRR"),"")</f>
        <v/>
      </c>
      <c r="O37" s="303" t="s">
        <v>3425</v>
      </c>
    </row>
    <row r="38" spans="1:19" ht="12.75" hidden="1" customHeight="1">
      <c r="A38" s="296"/>
      <c r="B38" s="354" t="e">
        <f>IF(#REF!&lt;&gt;"",IF(#REF!&gt;0,"P","Z"),"")</f>
        <v>#REF!</v>
      </c>
      <c r="C38" s="303" t="s">
        <v>3425</v>
      </c>
      <c r="E38" s="296" t="s">
        <v>458</v>
      </c>
      <c r="F38" s="352" t="str">
        <f>IF('DAP1'!B39&lt;&gt;"",'DAP1'!B39,"")</f>
        <v/>
      </c>
      <c r="I38" s="296" t="s">
        <v>520</v>
      </c>
      <c r="J38">
        <f>'DAP4'!K12</f>
        <v>0</v>
      </c>
      <c r="K38" t="s">
        <v>3425</v>
      </c>
      <c r="M38" s="296" t="s">
        <v>542</v>
      </c>
      <c r="N38" s="354">
        <f>'1Př1'!A27</f>
        <v>0</v>
      </c>
      <c r="O38" s="303" t="s">
        <v>3672</v>
      </c>
    </row>
    <row r="39" spans="1:19" ht="12.75" hidden="1" customHeight="1">
      <c r="A39" s="296" t="s">
        <v>389</v>
      </c>
      <c r="B39" s="354">
        <f>'DAP3'!D45</f>
        <v>0</v>
      </c>
      <c r="C39" s="303" t="s">
        <v>3425</v>
      </c>
      <c r="E39" s="296" t="s">
        <v>459</v>
      </c>
      <c r="F39" s="352" t="str">
        <f>IF('DAP1'!G38&lt;&gt;"",'DAP1'!G35,"")</f>
        <v/>
      </c>
      <c r="I39" s="296" t="s">
        <v>521</v>
      </c>
      <c r="K39" s="303" t="s">
        <v>3428</v>
      </c>
      <c r="M39" s="296" t="s">
        <v>543</v>
      </c>
      <c r="N39" s="354">
        <f>'1Př1'!F14</f>
        <v>0</v>
      </c>
      <c r="O39" s="303" t="s">
        <v>3425</v>
      </c>
    </row>
    <row r="40" spans="1:19" ht="12.75" hidden="1" customHeight="1">
      <c r="A40" s="296" t="s">
        <v>390</v>
      </c>
      <c r="B40" s="354">
        <f>'DAP3'!D44</f>
        <v>0</v>
      </c>
      <c r="C40" s="303" t="s">
        <v>3425</v>
      </c>
      <c r="E40" s="296" t="s">
        <v>460</v>
      </c>
      <c r="F40" s="297" t="str">
        <f>IF(AND(LEN('DAP4'!A34)&gt;6,ISNUMBER(SEARCH(".",'DAP4'!A34))),'DAP4'!A34,"")</f>
        <v/>
      </c>
      <c r="G40" s="303" t="s">
        <v>3436</v>
      </c>
      <c r="I40" s="296" t="s">
        <v>522</v>
      </c>
      <c r="J40">
        <f>'DAP4'!K11</f>
        <v>0</v>
      </c>
      <c r="K40" s="303" t="s">
        <v>3425</v>
      </c>
      <c r="M40" s="296" t="s">
        <v>544</v>
      </c>
      <c r="N40" s="354">
        <f>'1Př1'!E27</f>
        <v>0</v>
      </c>
      <c r="O40" s="303" t="s">
        <v>3425</v>
      </c>
      <c r="Q40" t="s">
        <v>564</v>
      </c>
      <c r="R40" s="296" t="s">
        <v>588</v>
      </c>
      <c r="S40" s="299" t="s">
        <v>586</v>
      </c>
    </row>
    <row r="41" spans="1:19" ht="12.75" hidden="1" customHeight="1">
      <c r="A41" s="296" t="s">
        <v>391</v>
      </c>
      <c r="B41" s="354" t="str">
        <f>IF(AND('DAP3'!D44&lt;&gt;"",'DAP3'!D44&lt;&gt;0),'DAP3'!D44,"")</f>
        <v/>
      </c>
      <c r="C41" s="303" t="s">
        <v>3425</v>
      </c>
      <c r="E41" s="296" t="s">
        <v>461</v>
      </c>
      <c r="F41" s="297" t="str">
        <f>IF(AND(LEN('DAP4'!A34)&lt;=4,'DAP4'!A34&lt;&gt;""),'DAP4'!A34,"")</f>
        <v/>
      </c>
      <c r="G41" s="303" t="s">
        <v>3436</v>
      </c>
      <c r="I41" s="296" t="s">
        <v>523</v>
      </c>
      <c r="J41">
        <f>'DAP4'!K20</f>
        <v>0</v>
      </c>
      <c r="K41" s="303" t="s">
        <v>3425</v>
      </c>
      <c r="M41" s="296" t="s">
        <v>545</v>
      </c>
      <c r="N41" s="354">
        <f>'1Př1'!I27</f>
        <v>0</v>
      </c>
      <c r="O41" s="303" t="s">
        <v>3425</v>
      </c>
      <c r="R41" s="354" t="str">
        <f>IF('1Př2'!F20&lt;&gt;"",'1Př2'!F20,"")</f>
        <v/>
      </c>
      <c r="S41" s="297" t="str">
        <f>IF('1Př2'!B20&lt;&gt;"",'1Př2'!B20,"")</f>
        <v/>
      </c>
    </row>
    <row r="42" spans="1:19" ht="12.75" hidden="1" customHeight="1">
      <c r="A42" s="296" t="s">
        <v>392</v>
      </c>
      <c r="B42" s="354">
        <f>'DAP3'!E8</f>
        <v>0</v>
      </c>
      <c r="C42" s="303" t="s">
        <v>3425</v>
      </c>
      <c r="E42" s="296" t="s">
        <v>462</v>
      </c>
      <c r="F42" s="297" t="str">
        <f>IF(AND(LEN('DAP4'!A34)&lt;9,LEN('DAP4'!A34)&gt;5),'DAP4'!A34,"")</f>
        <v/>
      </c>
      <c r="G42" s="303" t="s">
        <v>3436</v>
      </c>
      <c r="I42" s="296" t="s">
        <v>524</v>
      </c>
      <c r="J42">
        <f>'DAP4'!K9</f>
        <v>0</v>
      </c>
      <c r="K42" s="303" t="s">
        <v>3425</v>
      </c>
      <c r="M42" s="296" t="s">
        <v>546</v>
      </c>
      <c r="N42" s="354">
        <f>'1Př1'!F22</f>
        <v>0</v>
      </c>
      <c r="O42" s="303" t="s">
        <v>3425</v>
      </c>
      <c r="R42" s="354" t="str">
        <f>IF('1Př2'!F21&lt;&gt;"",'1Př2'!F21,"")</f>
        <v/>
      </c>
      <c r="S42" s="297" t="str">
        <f>IF('1Př2'!B21&lt;&gt;"",'1Př2'!B21,"")</f>
        <v/>
      </c>
    </row>
    <row r="43" spans="1:19" ht="12.75" hidden="1" customHeight="1">
      <c r="A43" s="296" t="s">
        <v>393</v>
      </c>
      <c r="B43" s="354">
        <f>'DAP3'!D46</f>
        <v>0</v>
      </c>
      <c r="C43" s="303" t="s">
        <v>3425</v>
      </c>
      <c r="E43" s="296" t="s">
        <v>463</v>
      </c>
      <c r="F43" s="297" t="str">
        <f>IF(AND(OR(F40&lt;&gt;"",F41&lt;&gt;""),ZAKL_DATA!D20&lt;&gt;""),ZAKL_DATA!D20,"")</f>
        <v/>
      </c>
      <c r="G43" s="303" t="s">
        <v>3436</v>
      </c>
      <c r="I43" s="296" t="s">
        <v>525</v>
      </c>
      <c r="J43">
        <f>'DAP4'!K13</f>
        <v>0</v>
      </c>
      <c r="K43" s="303" t="s">
        <v>3425</v>
      </c>
      <c r="M43" s="296" t="s">
        <v>547</v>
      </c>
      <c r="N43" s="354">
        <f>'1Př1'!F17</f>
        <v>0</v>
      </c>
      <c r="O43" s="303" t="s">
        <v>3425</v>
      </c>
      <c r="R43" s="354" t="str">
        <f>IF('1Př2'!F22&lt;&gt;"",'1Př2'!F22,"")</f>
        <v/>
      </c>
      <c r="S43" s="297" t="str">
        <f>IF('1Př2'!B22&lt;&gt;"",'1Př2'!B22,"")</f>
        <v/>
      </c>
    </row>
    <row r="44" spans="1:19" ht="12.75" hidden="1" customHeight="1">
      <c r="A44" s="296" t="s">
        <v>394</v>
      </c>
      <c r="B44" s="354">
        <f>'DAP3'!D41</f>
        <v>0</v>
      </c>
      <c r="C44" s="303" t="s">
        <v>3425</v>
      </c>
      <c r="E44" s="296" t="s">
        <v>464</v>
      </c>
      <c r="F44" s="297" t="str">
        <f>IF('DAP4'!C30&lt;&gt;0,'DAP4'!C30,"")</f>
        <v/>
      </c>
      <c r="G44" s="303" t="s">
        <v>3436</v>
      </c>
      <c r="I44" s="296" t="s">
        <v>526</v>
      </c>
      <c r="J44">
        <f>'DAP4'!K6</f>
        <v>0</v>
      </c>
      <c r="K44" s="303" t="s">
        <v>3425</v>
      </c>
      <c r="M44" s="296" t="s">
        <v>548</v>
      </c>
      <c r="N44" s="354">
        <f>'1Př1'!F19</f>
        <v>0</v>
      </c>
      <c r="O44" s="303" t="s">
        <v>3425</v>
      </c>
      <c r="R44" s="354" t="str">
        <f>IF('1Př2'!F23&lt;&gt;"",'1Př2'!F23,"")</f>
        <v/>
      </c>
      <c r="S44" s="297" t="str">
        <f>IF('1Př2'!B23&lt;&gt;"",'1Př2'!B23,"")</f>
        <v/>
      </c>
    </row>
    <row r="45" spans="1:19" ht="12.75" hidden="1" customHeight="1">
      <c r="A45" s="296" t="s">
        <v>395</v>
      </c>
      <c r="B45" s="354">
        <f>'DAP3'!D40</f>
        <v>0</v>
      </c>
      <c r="C45" s="303" t="s">
        <v>3425</v>
      </c>
      <c r="E45" s="296" t="s">
        <v>465</v>
      </c>
      <c r="F45" s="297" t="str">
        <f>'DAP4'!A32</f>
        <v xml:space="preserve">  </v>
      </c>
      <c r="G45" s="303" t="s">
        <v>3436</v>
      </c>
      <c r="I45" s="296" t="s">
        <v>527</v>
      </c>
      <c r="J45">
        <v>0</v>
      </c>
      <c r="K45" s="359" t="s">
        <v>3671</v>
      </c>
      <c r="M45" s="296" t="s">
        <v>549</v>
      </c>
      <c r="N45" s="354">
        <f>'1Př1'!F11</f>
        <v>0</v>
      </c>
      <c r="O45" s="303" t="s">
        <v>3425</v>
      </c>
    </row>
    <row r="46" spans="1:19" ht="12.75" hidden="1" customHeight="1">
      <c r="A46" s="296" t="s">
        <v>396</v>
      </c>
      <c r="B46" s="354">
        <f>'DAP3'!D48</f>
        <v>0</v>
      </c>
      <c r="C46" s="303" t="s">
        <v>3425</v>
      </c>
      <c r="E46" s="296" t="s">
        <v>466</v>
      </c>
      <c r="F46" s="297" t="str">
        <f>IF(AND(OR(F40&lt;&gt;"",F41&lt;&gt;""),ZAKL_DATA!D21&lt;&gt;""),ZAKL_DATA!D21,"")</f>
        <v/>
      </c>
      <c r="G46" s="303" t="s">
        <v>3436</v>
      </c>
      <c r="I46" s="296" t="s">
        <v>528</v>
      </c>
      <c r="J46" t="str">
        <f>IF((ABS('6Př'!E20)+ABS('6Př'!F20))&lt;&gt;0,"1","0")</f>
        <v>0</v>
      </c>
      <c r="M46" s="296" t="s">
        <v>550</v>
      </c>
      <c r="N46" s="354">
        <f>'1Př1'!F16</f>
        <v>0</v>
      </c>
      <c r="O46" s="303" t="s">
        <v>3425</v>
      </c>
      <c r="R46" s="303" t="s">
        <v>3425</v>
      </c>
      <c r="S46" s="303" t="s">
        <v>3425</v>
      </c>
    </row>
    <row r="47" spans="1:19" ht="12.75" hidden="1" customHeight="1">
      <c r="A47" s="296" t="s">
        <v>397</v>
      </c>
      <c r="B47" s="354" t="str">
        <f>IF(AND('DAP3'!D34&lt;&gt;"",'DAP3'!D34&lt;&gt;0),'DAP3'!D34,"")</f>
        <v/>
      </c>
      <c r="C47" s="303" t="s">
        <v>3425</v>
      </c>
      <c r="E47" s="296" t="s">
        <v>467</v>
      </c>
      <c r="F47" s="297" t="str">
        <f>IF(OR('DAP4'!C30="4a",'DAP4'!C30="4b"), "F",IF(OR('DAP4'!C30="4c",'DAP4'!C30="4d"),"P",""))</f>
        <v/>
      </c>
      <c r="G47" s="303" t="s">
        <v>3436</v>
      </c>
      <c r="I47" s="296" t="s">
        <v>529</v>
      </c>
      <c r="J47">
        <f>IF('DAP4'!K26&lt;&gt;"",'DAP4'!K26,"")</f>
        <v>0</v>
      </c>
      <c r="M47" s="296" t="s">
        <v>551</v>
      </c>
      <c r="N47" s="354">
        <f>'1Př1'!F15</f>
        <v>0</v>
      </c>
      <c r="O47" s="303" t="s">
        <v>3425</v>
      </c>
    </row>
    <row r="48" spans="1:19" ht="12.75" hidden="1" customHeight="1">
      <c r="A48" s="296" t="s">
        <v>398</v>
      </c>
      <c r="B48" s="354" t="str">
        <f>IF(AND('DAP3'!D37&lt;&gt;"",'DAP3'!D37&lt;&gt;0),'DAP3'!D37,"")</f>
        <v/>
      </c>
      <c r="C48" s="303" t="s">
        <v>3425</v>
      </c>
      <c r="I48" s="296" t="s">
        <v>530</v>
      </c>
      <c r="J48" s="352">
        <f>'DAP4'!K4</f>
        <v>0</v>
      </c>
      <c r="K48" s="303" t="s">
        <v>3425</v>
      </c>
      <c r="M48" s="296" t="s">
        <v>552</v>
      </c>
      <c r="N48" s="354">
        <f>'1Př1'!F12</f>
        <v>0</v>
      </c>
      <c r="O48" s="303" t="s">
        <v>3425</v>
      </c>
    </row>
    <row r="49" spans="1:22" ht="12.75" hidden="1" customHeight="1">
      <c r="A49" s="296" t="s">
        <v>399</v>
      </c>
      <c r="B49" s="352" t="str">
        <f>IF('DAP1'!F41&lt;&gt;"",'DAP1'!F41,"")</f>
        <v/>
      </c>
      <c r="C49" s="303" t="s">
        <v>3425</v>
      </c>
      <c r="I49" s="296" t="s">
        <v>531</v>
      </c>
      <c r="J49" s="352">
        <f>'DAP4'!K5</f>
        <v>0</v>
      </c>
      <c r="K49" s="303" t="s">
        <v>3425</v>
      </c>
      <c r="M49" s="296" t="s">
        <v>553</v>
      </c>
      <c r="N49" s="354">
        <f>'1Př1'!F18</f>
        <v>0</v>
      </c>
      <c r="O49" s="303" t="s">
        <v>3425</v>
      </c>
    </row>
    <row r="50" spans="1:22" ht="12.75" hidden="1" customHeight="1">
      <c r="A50" s="296" t="s">
        <v>400</v>
      </c>
      <c r="B50">
        <f>'DAP3'!D5</f>
        <v>0</v>
      </c>
      <c r="C50" s="303" t="s">
        <v>3425</v>
      </c>
      <c r="E50" s="296" t="s">
        <v>3666</v>
      </c>
      <c r="F50" s="297" t="e">
        <f>IF(#REF!&lt;&gt;"",IF(#REF!&gt;0,"P","Z"),"")</f>
        <v>#REF!</v>
      </c>
      <c r="I50" s="296" t="s">
        <v>532</v>
      </c>
      <c r="J50">
        <f>'DAP4'!K22</f>
        <v>0</v>
      </c>
      <c r="K50" s="303" t="s">
        <v>3425</v>
      </c>
      <c r="M50" s="296" t="s">
        <v>554</v>
      </c>
      <c r="N50" s="354">
        <f>'1Př1'!F20</f>
        <v>0</v>
      </c>
      <c r="O50" s="303" t="s">
        <v>3425</v>
      </c>
      <c r="Q50" t="s">
        <v>590</v>
      </c>
      <c r="R50" s="296" t="s">
        <v>591</v>
      </c>
      <c r="S50" s="299" t="s">
        <v>589</v>
      </c>
    </row>
    <row r="51" spans="1:22" ht="12.75" hidden="1" customHeight="1">
      <c r="A51" s="296" t="s">
        <v>3546</v>
      </c>
      <c r="B51">
        <f>'DAP3'!F21</f>
        <v>0</v>
      </c>
      <c r="C51" s="303" t="s">
        <v>3425</v>
      </c>
      <c r="E51" s="296" t="s">
        <v>3666</v>
      </c>
      <c r="F51" s="297" t="e">
        <f>IF(#REF!&lt;&gt;"",IF(#REF!&gt;0,"P","Z"),"")</f>
        <v>#REF!</v>
      </c>
      <c r="I51" s="296" t="s">
        <v>533</v>
      </c>
      <c r="J51">
        <f>'DAP4'!K21</f>
        <v>0</v>
      </c>
      <c r="K51" s="303" t="s">
        <v>3425</v>
      </c>
      <c r="M51" s="296" t="s">
        <v>555</v>
      </c>
      <c r="N51" s="354">
        <f>'1Př1'!F23</f>
        <v>0</v>
      </c>
      <c r="O51" s="303" t="s">
        <v>3425</v>
      </c>
      <c r="R51" t="str">
        <f>IF('1Př2'!F26&lt;&gt;"",'1Př2'!F26,"")</f>
        <v/>
      </c>
      <c r="S51" s="352" t="str">
        <f>IF('1Př2'!B26&lt;&gt;"",'1Př2'!B26,"")</f>
        <v/>
      </c>
    </row>
    <row r="52" spans="1:22" ht="12.75" hidden="1" customHeight="1">
      <c r="A52" s="296" t="s">
        <v>3547</v>
      </c>
      <c r="B52">
        <f>'DAP3'!G21</f>
        <v>0</v>
      </c>
      <c r="C52" s="303" t="s">
        <v>3425</v>
      </c>
      <c r="E52" s="296" t="s">
        <v>3666</v>
      </c>
      <c r="F52" s="297" t="e">
        <f>IF(#REF!&lt;&gt;"",IF(#REF!&gt;0,"P","Z"),"")</f>
        <v>#REF!</v>
      </c>
      <c r="I52" s="296" t="s">
        <v>3556</v>
      </c>
      <c r="J52" t="str">
        <f>IF('DAP4'!K17&lt;&gt;"",'DAP4'!K17,"")</f>
        <v/>
      </c>
      <c r="K52" s="367"/>
      <c r="M52" s="296" t="s">
        <v>556</v>
      </c>
      <c r="N52" s="354" t="e">
        <f>'1Př1'!#REF!</f>
        <v>#REF!</v>
      </c>
      <c r="O52" s="303" t="s">
        <v>3425</v>
      </c>
      <c r="R52" t="str">
        <f>IF('1Př2'!F27&lt;&gt;"",'1Př2'!F27,"")</f>
        <v/>
      </c>
      <c r="S52" s="297" t="str">
        <f>IF('1Př2'!B27&lt;&gt;"",'1Př2'!B27,"")</f>
        <v/>
      </c>
    </row>
    <row r="53" spans="1:22" ht="12.75" hidden="1" customHeight="1">
      <c r="A53" s="296" t="s">
        <v>401</v>
      </c>
      <c r="B53">
        <f>'DAP3'!D6</f>
        <v>0</v>
      </c>
      <c r="C53" s="303" t="s">
        <v>3425</v>
      </c>
      <c r="I53" s="296" t="s">
        <v>3864</v>
      </c>
      <c r="J53">
        <f>'DAP4'!K24</f>
        <v>0</v>
      </c>
      <c r="M53" s="296" t="s">
        <v>557</v>
      </c>
      <c r="N53">
        <f>'1Př2'!G3</f>
        <v>12</v>
      </c>
      <c r="O53" s="303" t="s">
        <v>3425</v>
      </c>
      <c r="R53" t="str">
        <f>IF('1Př2'!F28&lt;&gt;"",'1Př2'!F28,"")</f>
        <v/>
      </c>
      <c r="S53" s="297" t="str">
        <f>IF('1Př2'!B28&lt;&gt;"",'1Př2'!B28,"")</f>
        <v/>
      </c>
    </row>
    <row r="54" spans="1:22" ht="12.75" hidden="1" customHeight="1">
      <c r="A54" s="296" t="s">
        <v>402</v>
      </c>
      <c r="B54">
        <f>'DAP3'!D4</f>
        <v>0</v>
      </c>
      <c r="C54" s="303" t="s">
        <v>3425</v>
      </c>
      <c r="I54" s="296" t="s">
        <v>3865</v>
      </c>
      <c r="J54">
        <f>'DAP4'!K7</f>
        <v>0</v>
      </c>
      <c r="M54" s="296" t="s">
        <v>558</v>
      </c>
      <c r="N54" s="354">
        <f>'1Př1'!F30</f>
        <v>0</v>
      </c>
      <c r="O54" s="303" t="s">
        <v>3425</v>
      </c>
      <c r="R54" t="str">
        <f>IF('1Př2'!F29&lt;&gt;"",'1Př2'!F29,"")</f>
        <v/>
      </c>
      <c r="S54" s="297" t="str">
        <f>IF('1Př2'!B29&lt;&gt;"",'1Př2'!B29,"")</f>
        <v/>
      </c>
    </row>
    <row r="55" spans="1:22" ht="12.75" hidden="1" customHeight="1">
      <c r="A55" s="296" t="s">
        <v>403</v>
      </c>
      <c r="B55">
        <f>'DAP3'!D8</f>
        <v>0</v>
      </c>
      <c r="C55" s="303" t="s">
        <v>3425</v>
      </c>
      <c r="I55" s="296"/>
      <c r="M55" s="296" t="s">
        <v>559</v>
      </c>
      <c r="N55" s="358" t="str">
        <f>IF(AND('1Př1'!E30*100&lt;&gt;0,'1Př1'!E30&lt;&gt;""),'1Př1'!E30*100,"")</f>
        <v/>
      </c>
      <c r="O55" s="303" t="s">
        <v>3425</v>
      </c>
    </row>
    <row r="56" spans="1:22" ht="12.75" hidden="1" customHeight="1">
      <c r="A56" s="296" t="s">
        <v>404</v>
      </c>
      <c r="B56">
        <f>'DAP3'!D3</f>
        <v>0</v>
      </c>
      <c r="C56" s="303" t="s">
        <v>3425</v>
      </c>
      <c r="M56" s="296" t="s">
        <v>560</v>
      </c>
      <c r="N56" s="354">
        <f>'1Př1'!H30</f>
        <v>0</v>
      </c>
      <c r="O56" s="303" t="s">
        <v>3425</v>
      </c>
      <c r="R56" s="303" t="s">
        <v>3425</v>
      </c>
      <c r="S56" s="303" t="s">
        <v>3425</v>
      </c>
    </row>
    <row r="57" spans="1:22" ht="12.75" hidden="1" customHeight="1">
      <c r="A57" s="296" t="s">
        <v>405</v>
      </c>
      <c r="B57">
        <f>'DAP3'!D7</f>
        <v>0</v>
      </c>
      <c r="C57" s="303" t="s">
        <v>3425</v>
      </c>
      <c r="M57" s="296" t="s">
        <v>561</v>
      </c>
      <c r="N57" s="352">
        <f>IF(AND('1Př1'!C8&lt;&gt;"",'1Př1'!G8=""),1,IF(AND('1Př1'!C8="",'1Př1'!G8&lt;&gt;""),2,""))</f>
        <v>1</v>
      </c>
      <c r="O57" s="303" t="s">
        <v>3425</v>
      </c>
    </row>
    <row r="58" spans="1:22" ht="12.75" hidden="1" customHeight="1">
      <c r="A58" s="296" t="s">
        <v>406</v>
      </c>
      <c r="B58" s="303" t="str">
        <f>IF(ISNUMBER(FIND(" ",'DAP2'!C45)),MID('DAP2'!C45,(FIND(" ",'DAP2'!C45,1))+1,IF(ISNUMBER(FIND(" ",'DAP2'!C45,FIND(" ",'DAP2'!C45,1)+1)),FIND(" ",'DAP2'!C45,LEN(LEFT('DAP2'!C45,(FIND(" ",'DAP2'!C45,1))))+1)-LEN(LEFT('DAP2'!C45,(FIND(" ",'DAP2'!C45,1)))),LEN('DAP2'!C45)-LEN(LEFT('DAP2'!C45,(FIND(" ",'DAP2'!C45,1)))))),"")</f>
        <v/>
      </c>
      <c r="C58" s="303" t="s">
        <v>3425</v>
      </c>
      <c r="M58" s="296" t="s">
        <v>562</v>
      </c>
      <c r="N58" s="352" t="str">
        <f>IF('1Př1'!K8&lt;&gt;"","A","N")</f>
        <v>N</v>
      </c>
    </row>
    <row r="59" spans="1:22" ht="12.75" hidden="1" customHeight="1">
      <c r="A59" s="296" t="s">
        <v>407</v>
      </c>
      <c r="B59" s="303" t="str">
        <f>IF(ISNUMBER(FIND(" ",'DAP2'!C45)),LEFT('DAP2'!C45,(FIND(" ",'DAP2'!C45,1))-1),"")</f>
        <v/>
      </c>
      <c r="C59" s="303" t="s">
        <v>3425</v>
      </c>
      <c r="M59" s="296" t="s">
        <v>3709</v>
      </c>
      <c r="N59" s="297" t="e">
        <f>IF('1Př1'!#REF!&lt;&gt;"","A","N")</f>
        <v>#REF!</v>
      </c>
    </row>
    <row r="60" spans="1:22" ht="12.75" hidden="1" customHeight="1">
      <c r="A60" s="296" t="s">
        <v>408</v>
      </c>
      <c r="B60" s="303" t="str">
        <f>IF('DAP2'!H45&lt;&gt;"",'DAP2'!H45,"")</f>
        <v/>
      </c>
      <c r="C60" s="303" t="s">
        <v>3425</v>
      </c>
      <c r="E60" t="s">
        <v>568</v>
      </c>
      <c r="I60" t="s">
        <v>605</v>
      </c>
      <c r="N60" t="str">
        <f>IF(OR(N57="2",N58="A"),"A","N")</f>
        <v>N</v>
      </c>
      <c r="Q60" t="s">
        <v>593</v>
      </c>
      <c r="R60" s="296" t="s">
        <v>592</v>
      </c>
      <c r="S60" s="299" t="s">
        <v>594</v>
      </c>
      <c r="T60" s="299" t="s">
        <v>595</v>
      </c>
      <c r="U60" s="299" t="s">
        <v>596</v>
      </c>
      <c r="V60" s="299" t="s">
        <v>597</v>
      </c>
    </row>
    <row r="61" spans="1:22" ht="12.75" hidden="1" customHeight="1">
      <c r="A61" s="296" t="s">
        <v>409</v>
      </c>
      <c r="B61" s="303" t="str">
        <f>IF(ISNUMBER(FIND(" ",'DAP2'!C45,FIND(" ",'DAP2'!C45,1)+1)),MID('DAP2'!C45,FIND(" ",'DAP2'!C45,LEN(LEFT('DAP2'!C45,(FIND(" ",'DAP2'!C45,1))))+1)+1,LEN('DAP2'!C45)-LEN(LEFT('DAP2'!C45,(FIND(" ",'DAP2'!C45,1))))+1),"")</f>
        <v/>
      </c>
      <c r="C61" s="303" t="s">
        <v>3425</v>
      </c>
      <c r="E61" s="296" t="s">
        <v>569</v>
      </c>
      <c r="F61" s="354">
        <f>IF(OR(N57=2,N58="A"),"",'1Př2'!F7)</f>
        <v>0</v>
      </c>
      <c r="G61" t="s">
        <v>3425</v>
      </c>
      <c r="I61" s="296" t="s">
        <v>612</v>
      </c>
      <c r="J61" s="354">
        <f>'2Př'!G11</f>
        <v>0</v>
      </c>
      <c r="K61" s="303" t="s">
        <v>3425</v>
      </c>
      <c r="R61" s="352" t="str">
        <f>IF('1Př2'!E33&lt;&gt;"",MID('1Př2'!E33,3,LEN('1Př2'!E33)-2),"")</f>
        <v/>
      </c>
      <c r="S61" s="352" t="str">
        <f>IF('1Př2'!B33&lt;&gt;"",'1Př2'!B33,"")</f>
        <v/>
      </c>
      <c r="T61" s="297" t="str">
        <f>IF('1Př2'!F33&lt;&gt;"",'1Př2'!F33*100,"")</f>
        <v/>
      </c>
      <c r="U61" t="str">
        <f>IF('1Př2'!G33&lt;&gt;"",'1Př2'!G33*100,"")</f>
        <v/>
      </c>
      <c r="V61" s="352" t="str">
        <f>IF('1Př2'!C33&lt;&gt;"",'1Př2'!C33,"")</f>
        <v/>
      </c>
    </row>
    <row r="62" spans="1:22" ht="12.75" hidden="1" customHeight="1">
      <c r="A62" s="296" t="s">
        <v>410</v>
      </c>
      <c r="B62" s="352" t="str">
        <f>IF(AND('DAP1'!J17&lt;&gt;"",'DAP1'!L17=""),"A",IF(AND('DAP1'!J17="",'DAP1'!L17&lt;&gt;""),"N",""))</f>
        <v>N</v>
      </c>
      <c r="C62" s="303" t="s">
        <v>3425</v>
      </c>
      <c r="E62" s="296" t="s">
        <v>570</v>
      </c>
      <c r="F62" s="354">
        <f>IF(OR(N57=2,N58="A"),"",'1Př2'!F10)</f>
        <v>0</v>
      </c>
      <c r="G62" t="s">
        <v>3425</v>
      </c>
      <c r="I62" s="296" t="s">
        <v>613</v>
      </c>
      <c r="J62" s="354">
        <f>'2Př'!G33</f>
        <v>0</v>
      </c>
      <c r="K62" s="303" t="s">
        <v>3425</v>
      </c>
      <c r="R62" s="297" t="str">
        <f>IF('1Př2'!E34&lt;&gt;"",MID('1Př2'!E34,3,LEN('1Př2'!E34)-2),"")</f>
        <v/>
      </c>
      <c r="S62" s="297" t="str">
        <f>IF('1Př2'!B34&lt;&gt;"",'1Př2'!B34,"")</f>
        <v/>
      </c>
      <c r="T62" s="297" t="str">
        <f>IF('1Př2'!F34&lt;&gt;"",'1Př2'!F34*100,"")</f>
        <v/>
      </c>
      <c r="U62" t="str">
        <f>IF('1Př2'!G34&lt;&gt;"",'1Př2'!G34*100,"")</f>
        <v/>
      </c>
      <c r="V62" s="297" t="str">
        <f>IF('1Př2'!C34&lt;&gt;"",'1Př2'!C34,"")</f>
        <v/>
      </c>
    </row>
    <row r="63" spans="1:22" ht="12.75" hidden="1" customHeight="1">
      <c r="A63" s="296" t="s">
        <v>411</v>
      </c>
      <c r="B63" s="352" t="str">
        <f>IF(AND('DAP1'!F43&lt;&gt;"",'DAP1'!H43=""),"A",IF(AND('DAP1'!F43="",'DAP1'!H43&lt;&gt;""),"N",""))</f>
        <v>N</v>
      </c>
      <c r="C63" s="303" t="s">
        <v>3425</v>
      </c>
      <c r="E63" s="296" t="s">
        <v>571</v>
      </c>
      <c r="F63" s="354">
        <f>IF(OR(N57=2,N58="A"),"",'1Př2'!F11)</f>
        <v>0</v>
      </c>
      <c r="G63" t="s">
        <v>3425</v>
      </c>
      <c r="I63" s="296" t="s">
        <v>614</v>
      </c>
      <c r="J63" s="354">
        <f>'2Př'!G10</f>
        <v>0</v>
      </c>
      <c r="K63" s="303" t="s">
        <v>3425</v>
      </c>
      <c r="R63" s="297" t="str">
        <f>IF('1Př2'!E35&lt;&gt;"",MID('1Př2'!E35,3,LEN('1Př2'!E35)-2),"")</f>
        <v/>
      </c>
      <c r="S63" s="297" t="str">
        <f>IF('1Př2'!B35&lt;&gt;"",'1Př2'!B35,"")</f>
        <v/>
      </c>
      <c r="T63" s="297" t="str">
        <f>IF('1Př2'!F35&lt;&gt;"",'1Př2'!F35*100,"")</f>
        <v/>
      </c>
      <c r="U63" t="str">
        <f>IF('1Př2'!G35&lt;&gt;"",'1Př2'!G35*100,"")</f>
        <v/>
      </c>
      <c r="V63" s="297" t="str">
        <f>IF('1Př2'!C35&lt;&gt;"",'1Př2'!C35,"")</f>
        <v/>
      </c>
    </row>
    <row r="64" spans="1:22" ht="12.75" hidden="1" customHeight="1">
      <c r="A64" s="296" t="s">
        <v>412</v>
      </c>
      <c r="B64">
        <f>'DAP1'!F24</f>
        <v>2024</v>
      </c>
      <c r="C64" s="303" t="s">
        <v>3425</v>
      </c>
      <c r="E64" s="296" t="s">
        <v>572</v>
      </c>
      <c r="F64" s="354">
        <f>IF(OR(N57=2,N58="A"),"",'1Př2'!F8)</f>
        <v>0</v>
      </c>
      <c r="G64" t="s">
        <v>3425</v>
      </c>
      <c r="I64" s="296" t="s">
        <v>615</v>
      </c>
      <c r="J64" s="354">
        <f>'2Př'!H18</f>
        <v>0</v>
      </c>
      <c r="K64" s="303" t="s">
        <v>3425</v>
      </c>
    </row>
    <row r="65" spans="1:22" ht="12.75" hidden="1" customHeight="1">
      <c r="A65" s="296" t="s">
        <v>413</v>
      </c>
      <c r="B65" s="354">
        <f>'DAP2'!F43</f>
        <v>0</v>
      </c>
      <c r="C65" s="303" t="s">
        <v>3425</v>
      </c>
      <c r="E65" s="296" t="s">
        <v>573</v>
      </c>
      <c r="F65" s="354">
        <f>IF(OR(N57=2,N58="A"),"",'1Př2'!F9)</f>
        <v>0</v>
      </c>
      <c r="G65" t="s">
        <v>3425</v>
      </c>
      <c r="I65" s="296" t="s">
        <v>616</v>
      </c>
      <c r="J65" s="354">
        <f>'2Př'!C18</f>
        <v>0</v>
      </c>
      <c r="K65" s="303" t="s">
        <v>3425</v>
      </c>
      <c r="R65" s="303" t="s">
        <v>3425</v>
      </c>
      <c r="S65" s="303" t="s">
        <v>3425</v>
      </c>
      <c r="T65" s="303" t="s">
        <v>3425</v>
      </c>
      <c r="U65" s="303" t="s">
        <v>3425</v>
      </c>
      <c r="V65" s="303" t="s">
        <v>3425</v>
      </c>
    </row>
    <row r="66" spans="1:22" ht="12.75" hidden="1" customHeight="1">
      <c r="A66" s="296" t="s">
        <v>414</v>
      </c>
      <c r="B66" s="297"/>
      <c r="C66" s="303" t="s">
        <v>3428</v>
      </c>
      <c r="E66" s="296" t="s">
        <v>574</v>
      </c>
      <c r="F66" s="354">
        <f>IF(OR(N57=2,N58="A"),"",'1Př2'!F12)</f>
        <v>0</v>
      </c>
      <c r="G66" t="s">
        <v>3425</v>
      </c>
      <c r="I66" s="296" t="s">
        <v>617</v>
      </c>
      <c r="J66" s="354">
        <f>'2Př'!G13</f>
        <v>0</v>
      </c>
      <c r="K66" s="303" t="s">
        <v>3425</v>
      </c>
    </row>
    <row r="67" spans="1:22" ht="12.75" hidden="1" customHeight="1">
      <c r="A67" s="296" t="s">
        <v>415</v>
      </c>
      <c r="B67" s="354">
        <f>'DAP3'!E11</f>
        <v>30840</v>
      </c>
      <c r="E67" s="296" t="s">
        <v>575</v>
      </c>
      <c r="F67" s="354">
        <f>IF(OR(N57=2,N58="A"),"",'1Př2'!F13)</f>
        <v>0</v>
      </c>
      <c r="G67" t="s">
        <v>3425</v>
      </c>
      <c r="I67" s="296" t="s">
        <v>618</v>
      </c>
      <c r="J67" s="354">
        <f>'2Př'!G15</f>
        <v>0</v>
      </c>
      <c r="K67" s="303" t="s">
        <v>3425</v>
      </c>
    </row>
    <row r="68" spans="1:22" ht="12.75" hidden="1" customHeight="1">
      <c r="A68" s="296" t="s">
        <v>416</v>
      </c>
      <c r="B68" s="352" t="str">
        <f>IF(CONCATENATE('DAP1'!J28,'DAP1'!B28)&lt;&gt;"00",CONCATENATE('DAP1'!J28," ",'DAP1'!B28),"")</f>
        <v/>
      </c>
      <c r="C68" s="359" t="s">
        <v>3425</v>
      </c>
      <c r="E68" s="296" t="s">
        <v>576</v>
      </c>
      <c r="F68" s="354">
        <f>IF(OR(N57=2,N58="A"),"",'1Př2'!F14)</f>
        <v>0</v>
      </c>
      <c r="G68" t="s">
        <v>3425</v>
      </c>
      <c r="I68" s="296" t="s">
        <v>619</v>
      </c>
      <c r="J68" s="354">
        <f>'2Př'!G34</f>
        <v>0</v>
      </c>
      <c r="K68" s="303" t="s">
        <v>3425</v>
      </c>
    </row>
    <row r="69" spans="1:22" ht="12.75" hidden="1" customHeight="1">
      <c r="A69" s="296" t="s">
        <v>417</v>
      </c>
      <c r="B69" s="297" t="e">
        <f>IF(#REF!&lt;&gt;"",IF(#REF!&gt;0,"P","Z"),"")</f>
        <v>#REF!</v>
      </c>
      <c r="C69" s="359" t="s">
        <v>3433</v>
      </c>
      <c r="E69" s="296" t="s">
        <v>577</v>
      </c>
      <c r="F69" s="354">
        <f>IF(OR(N57=2,N58="A"),"",'1Př2'!C16)</f>
        <v>0</v>
      </c>
      <c r="G69" t="s">
        <v>3425</v>
      </c>
      <c r="I69" s="296" t="s">
        <v>620</v>
      </c>
      <c r="J69" s="354">
        <f>'2Př'!G12</f>
        <v>0</v>
      </c>
      <c r="K69" s="303" t="s">
        <v>3425</v>
      </c>
    </row>
    <row r="70" spans="1:22" ht="12.75" hidden="1" customHeight="1">
      <c r="A70" s="296" t="s">
        <v>418</v>
      </c>
      <c r="B70">
        <v>500</v>
      </c>
      <c r="C70" s="359" t="s">
        <v>3426</v>
      </c>
      <c r="E70" s="296" t="s">
        <v>578</v>
      </c>
      <c r="F70" s="354">
        <f>IF(OR(N57=2,N58="A"),"",'1Př2'!G7)</f>
        <v>0</v>
      </c>
      <c r="G70" t="s">
        <v>3425</v>
      </c>
      <c r="I70" s="296" t="s">
        <v>621</v>
      </c>
      <c r="J70" s="354">
        <f>'2Př'!G35</f>
        <v>0</v>
      </c>
      <c r="K70" s="303" t="s">
        <v>3425</v>
      </c>
      <c r="M70" t="s">
        <v>630</v>
      </c>
      <c r="Q70" t="s">
        <v>598</v>
      </c>
      <c r="R70" s="296" t="s">
        <v>599</v>
      </c>
      <c r="S70" s="299" t="s">
        <v>600</v>
      </c>
      <c r="T70" s="299" t="s">
        <v>601</v>
      </c>
      <c r="U70" s="299" t="s">
        <v>602</v>
      </c>
    </row>
    <row r="71" spans="1:22" ht="12.75" hidden="1" customHeight="1">
      <c r="A71" s="296" t="s">
        <v>419</v>
      </c>
      <c r="B71" s="352" t="str">
        <f>CONCATENATE("31.12.",'DAP1'!F24)</f>
        <v>31.12.2024</v>
      </c>
      <c r="E71" s="296" t="s">
        <v>579</v>
      </c>
      <c r="F71" s="354">
        <f>IF(OR(N57=2,N58="A"),"",'1Př2'!G10)</f>
        <v>0</v>
      </c>
      <c r="G71" t="s">
        <v>3425</v>
      </c>
      <c r="I71" s="296" t="s">
        <v>622</v>
      </c>
      <c r="J71" s="354">
        <f>'2Př'!G16</f>
        <v>0</v>
      </c>
      <c r="K71" s="303" t="s">
        <v>3425</v>
      </c>
      <c r="M71" s="296" t="s">
        <v>638</v>
      </c>
      <c r="N71" s="355">
        <f>'3Př'!F30</f>
        <v>0</v>
      </c>
      <c r="O71" s="303" t="s">
        <v>3425</v>
      </c>
      <c r="R71" s="352" t="str">
        <f>IF('1Př2'!F39&lt;&gt;"",IF(OR(ISNUMBER('1Př2'!F39),ISNUMBER(FIND("/",('1Př2'!F39)))),'1Př2'!F39,MID('1Př2'!F39,3,(LEN('1Př2'!F39)-2))),"")</f>
        <v/>
      </c>
      <c r="S71" s="352" t="str">
        <f>IF('1Př2'!B39&lt;&gt;"",'1Př2'!B39,"")</f>
        <v/>
      </c>
      <c r="T71" t="str">
        <f>IF('1Př2'!G39&lt;&gt;"",('1Př2'!G39)*100,"")</f>
        <v/>
      </c>
      <c r="U71" s="352" t="str">
        <f>IF('1Př2'!D39&lt;&gt;"",'1Př2'!D39,"")</f>
        <v/>
      </c>
    </row>
    <row r="72" spans="1:22" ht="12.75" hidden="1" customHeight="1">
      <c r="A72" s="296" t="s">
        <v>420</v>
      </c>
      <c r="B72" s="352" t="str">
        <f>CONCATENATE("01.01.",'DAP1'!F24)</f>
        <v>01.01.2024</v>
      </c>
      <c r="E72" s="296" t="s">
        <v>580</v>
      </c>
      <c r="F72" s="354">
        <f>IF(OR(N57=2,N58="A"),"",'1Př2'!G11)</f>
        <v>0</v>
      </c>
      <c r="G72" t="s">
        <v>3425</v>
      </c>
      <c r="I72" s="296" t="s">
        <v>623</v>
      </c>
      <c r="J72" s="354">
        <f>'2Př'!G14</f>
        <v>0</v>
      </c>
      <c r="K72" s="303" t="s">
        <v>3425</v>
      </c>
      <c r="M72" s="296" t="s">
        <v>639</v>
      </c>
      <c r="N72" s="355">
        <f>'3Př'!F28</f>
        <v>0</v>
      </c>
      <c r="O72" s="303" t="s">
        <v>3425</v>
      </c>
      <c r="R72" s="297" t="str">
        <f>IF('1Př2'!F40&lt;&gt;"",IF(OR(ISNUMBER('1Př2'!F40),ISNUMBER(FIND("/",('1Př2'!F40)))),'1Př2'!F40,MID('1Př2'!F40,3,(LEN('1Př2'!F40)-2))),"")</f>
        <v/>
      </c>
      <c r="S72" s="297" t="str">
        <f>IF('1Př2'!B40&lt;&gt;"",'1Př2'!B40,"")</f>
        <v/>
      </c>
      <c r="T72" t="str">
        <f>IF('1Př2'!G40&lt;&gt;"",('1Př2'!G40)*100,"")</f>
        <v/>
      </c>
      <c r="U72" s="297" t="str">
        <f>IF('1Př2'!D40&lt;&gt;"",'1Př2'!D40,"")</f>
        <v/>
      </c>
    </row>
    <row r="73" spans="1:22" ht="12.75" hidden="1" customHeight="1">
      <c r="A73" s="296" t="s">
        <v>3544</v>
      </c>
      <c r="B73">
        <f>'DAP3'!H21</f>
        <v>0</v>
      </c>
      <c r="E73" s="296" t="s">
        <v>581</v>
      </c>
      <c r="F73" s="354">
        <f>IF(OR(N57=2,N58="A"),"",'1Př2'!G8)</f>
        <v>0</v>
      </c>
      <c r="G73" t="s">
        <v>3425</v>
      </c>
      <c r="I73" s="296" t="s">
        <v>624</v>
      </c>
      <c r="J73" s="352" t="str">
        <f>IF('2Př'!J7&lt;&gt;"","A","N")</f>
        <v>N</v>
      </c>
      <c r="K73" s="303" t="s">
        <v>3425</v>
      </c>
      <c r="M73" s="296" t="s">
        <v>640</v>
      </c>
      <c r="N73" s="355">
        <f>'3Př'!F27</f>
        <v>0</v>
      </c>
      <c r="O73" s="303" t="s">
        <v>3425</v>
      </c>
    </row>
    <row r="74" spans="1:22" ht="12.75" hidden="1" customHeight="1">
      <c r="A74" s="296" t="s">
        <v>3545</v>
      </c>
      <c r="B74">
        <f>'DAP3'!J21</f>
        <v>0</v>
      </c>
      <c r="E74" s="296" t="s">
        <v>582</v>
      </c>
      <c r="F74" s="354">
        <f>IF(OR(N57=2,N58="A"),"",'1Př2'!G9)</f>
        <v>0</v>
      </c>
      <c r="G74" t="s">
        <v>3425</v>
      </c>
      <c r="I74" s="296" t="s">
        <v>625</v>
      </c>
      <c r="J74" s="354">
        <f>'2Př'!G33</f>
        <v>0</v>
      </c>
      <c r="K74" s="303" t="s">
        <v>3425</v>
      </c>
      <c r="M74" s="296" t="s">
        <v>478</v>
      </c>
      <c r="N74" s="354">
        <f>'DAP2'!E15</f>
        <v>0</v>
      </c>
      <c r="R74" s="303" t="s">
        <v>3425</v>
      </c>
      <c r="S74" s="303" t="s">
        <v>3425</v>
      </c>
      <c r="T74" s="303" t="s">
        <v>3425</v>
      </c>
      <c r="U74" s="303" t="s">
        <v>3425</v>
      </c>
    </row>
    <row r="75" spans="1:22" ht="12.75" hidden="1" customHeight="1">
      <c r="A75" t="s">
        <v>3548</v>
      </c>
      <c r="B75">
        <f>'DAP3'!I21</f>
        <v>0</v>
      </c>
      <c r="E75" s="296" t="s">
        <v>583</v>
      </c>
      <c r="F75" s="354">
        <f>IF(OR(N57=2,N58="A"),"",'1Př2'!G12)</f>
        <v>0</v>
      </c>
      <c r="G75" t="s">
        <v>3425</v>
      </c>
      <c r="I75" s="296" t="s">
        <v>626</v>
      </c>
      <c r="J75" s="354">
        <f>'2Př'!G35</f>
        <v>0</v>
      </c>
      <c r="K75" s="303" t="s">
        <v>3425</v>
      </c>
      <c r="M75" s="296" t="s">
        <v>479</v>
      </c>
      <c r="N75" s="354">
        <f>'DAP2'!E10</f>
        <v>0</v>
      </c>
    </row>
    <row r="76" spans="1:22" ht="12.75" hidden="1" customHeight="1">
      <c r="A76" s="296" t="s">
        <v>3549</v>
      </c>
      <c r="B76">
        <f>'DAP3'!K21</f>
        <v>0</v>
      </c>
      <c r="E76" s="296" t="s">
        <v>584</v>
      </c>
      <c r="F76" s="354">
        <f>IF(OR(N57=2,N58="A"),"",'1Př2'!G13)</f>
        <v>0</v>
      </c>
      <c r="G76" t="s">
        <v>3425</v>
      </c>
      <c r="I76" s="296" t="s">
        <v>627</v>
      </c>
      <c r="J76" s="354">
        <f>'2Př'!G34</f>
        <v>0</v>
      </c>
      <c r="K76" s="303" t="s">
        <v>3425</v>
      </c>
      <c r="M76" s="296" t="s">
        <v>3866</v>
      </c>
      <c r="N76" s="354">
        <f>'3Př'!F10</f>
        <v>0</v>
      </c>
    </row>
    <row r="77" spans="1:22" ht="12.75" hidden="1" customHeight="1">
      <c r="A77" s="296" t="s">
        <v>3550</v>
      </c>
      <c r="B77" s="303" t="str">
        <f>IF('DAP2'!H45&lt;&gt;"",CONCATENATE(MID('DAP2'!H45,5,2),".",IF(VALUE(MID('DAP2'!H45,3,2))&lt;13,MID('DAP2'!H45,3,2),MID('DAP2'!H45,3,2)-50),".",IF(MID('DAP2'!H45,1,2)&lt;"5","20","19"),MID('DAP2'!H45,1,2)),"")</f>
        <v/>
      </c>
      <c r="E77" s="296" t="s">
        <v>585</v>
      </c>
      <c r="F77" s="354">
        <f>IF(OR(N57=2,N58="A"),"",'1Př2'!G14)</f>
        <v>0</v>
      </c>
      <c r="G77" t="s">
        <v>3425</v>
      </c>
      <c r="I77" s="296" t="s">
        <v>628</v>
      </c>
      <c r="J77" s="352" t="str">
        <f>IF('2Př'!D7&lt;&gt;"","A","N")</f>
        <v>N</v>
      </c>
      <c r="K77" s="303" t="s">
        <v>3425</v>
      </c>
      <c r="M77" s="296" t="s">
        <v>3867</v>
      </c>
      <c r="N77" s="355">
        <f>'3Př'!F30</f>
        <v>0</v>
      </c>
    </row>
    <row r="78" spans="1:22" ht="12.75" hidden="1" customHeight="1">
      <c r="A78" s="296" t="s">
        <v>3665</v>
      </c>
      <c r="B78" t="str">
        <f>IF('DAP3'!E10&lt;&gt;"",'DAP3'!E10,"")</f>
        <v/>
      </c>
      <c r="I78" s="296" t="s">
        <v>3710</v>
      </c>
      <c r="J78" s="297" t="e">
        <f>IF('2Př'!#REF!&lt;&gt;"","A","N")</f>
        <v>#REF!</v>
      </c>
      <c r="M78" s="296" t="s">
        <v>3868</v>
      </c>
      <c r="N78" s="604">
        <f>'3Př'!F12</f>
        <v>0</v>
      </c>
    </row>
    <row r="79" spans="1:22" ht="12.75" hidden="1" customHeight="1">
      <c r="A79" s="296" t="s">
        <v>388</v>
      </c>
      <c r="B79" s="354">
        <f>'DAP3'!D46</f>
        <v>0</v>
      </c>
      <c r="M79" s="296" t="s">
        <v>3869</v>
      </c>
      <c r="N79" s="355">
        <f>'3Př'!F13</f>
        <v>0</v>
      </c>
    </row>
    <row r="80" spans="1:22" ht="12.75" hidden="1" customHeight="1">
      <c r="A80" s="296" t="s">
        <v>3860</v>
      </c>
      <c r="B80" s="354">
        <f>'4Př'!F21</f>
        <v>0</v>
      </c>
      <c r="M80" s="296"/>
      <c r="Q80" t="s">
        <v>603</v>
      </c>
      <c r="R80" s="296" t="s">
        <v>606</v>
      </c>
      <c r="S80" s="299" t="s">
        <v>607</v>
      </c>
      <c r="T80" s="299" t="s">
        <v>608</v>
      </c>
      <c r="U80" s="299" t="s">
        <v>609</v>
      </c>
    </row>
    <row r="81" spans="1:21" ht="12.75" hidden="1" customHeight="1">
      <c r="A81" s="296" t="s">
        <v>3861</v>
      </c>
      <c r="B81" s="354">
        <f>'DAP3'!D25+'DAP3'!D26</f>
        <v>0</v>
      </c>
      <c r="M81" s="296"/>
      <c r="R81" s="352" t="str">
        <f>IF('1Př2'!F44&lt;&gt;"",MID('1Př2'!F44,3,LEN('1Př2'!F44)-2),"")</f>
        <v/>
      </c>
      <c r="S81" s="352" t="str">
        <f>IF('1Př2'!B44&lt;&gt;"",'1Př2'!B44,"")</f>
        <v/>
      </c>
      <c r="T81" t="str">
        <f>IF('1Př2'!G44&lt;&gt;"",'1Př2'!G44*100,"")</f>
        <v/>
      </c>
      <c r="U81" s="352" t="str">
        <f>IF('1Př2'!D44&lt;&gt;"",'1Př2'!D44,"")</f>
        <v/>
      </c>
    </row>
    <row r="82" spans="1:21" ht="12.75" hidden="1" customHeight="1">
      <c r="A82" s="296" t="s">
        <v>3862</v>
      </c>
      <c r="B82" s="354">
        <f>'DAP3'!D30</f>
        <v>0</v>
      </c>
    </row>
    <row r="83" spans="1:21" ht="12.75" hidden="1" customHeight="1">
      <c r="A83" s="296" t="s">
        <v>3863</v>
      </c>
      <c r="B83" s="354">
        <f>'DAP3'!D31</f>
        <v>0</v>
      </c>
      <c r="R83" s="303" t="s">
        <v>3425</v>
      </c>
      <c r="S83" s="303" t="s">
        <v>3425</v>
      </c>
      <c r="T83" s="303" t="s">
        <v>3425</v>
      </c>
      <c r="U83" s="303" t="s">
        <v>3425</v>
      </c>
    </row>
    <row r="88" spans="1:21" ht="12.75" hidden="1" customHeight="1">
      <c r="A88" s="351" t="s">
        <v>661</v>
      </c>
    </row>
    <row r="89" spans="1:21" ht="12.75" hidden="1" customHeight="1">
      <c r="A89" s="296" t="s">
        <v>662</v>
      </c>
      <c r="B89" s="297"/>
    </row>
    <row r="90" spans="1:21" ht="12.75" hidden="1" customHeight="1">
      <c r="A90" s="296" t="s">
        <v>663</v>
      </c>
      <c r="B90" s="352" t="str">
        <f>IF('DAP4'!D55&lt;&gt;0,+CONCATENATE(ZAKL_DATA!B33),"")</f>
        <v/>
      </c>
      <c r="C90" s="303" t="s">
        <v>3436</v>
      </c>
      <c r="Q90" t="s">
        <v>604</v>
      </c>
      <c r="R90" s="296" t="s">
        <v>610</v>
      </c>
      <c r="S90" s="299" t="s">
        <v>611</v>
      </c>
    </row>
    <row r="91" spans="1:21" ht="12.75" hidden="1" customHeight="1">
      <c r="A91" s="296" t="s">
        <v>664</v>
      </c>
      <c r="B91" s="297"/>
      <c r="R91" s="352" t="str">
        <f>IF('1Př2'!F47&lt;&gt;"",MID('1Př2'!F47,3,LEN('1Př2'!F47)-2),"")</f>
        <v/>
      </c>
      <c r="S91" t="str">
        <f>IF('1Př2'!G47&lt;&gt;"",'1Př2'!G47*100,"")</f>
        <v/>
      </c>
    </row>
    <row r="92" spans="1:21" ht="12.75" hidden="1" customHeight="1">
      <c r="A92" s="296" t="s">
        <v>665</v>
      </c>
      <c r="B92" s="297"/>
    </row>
    <row r="93" spans="1:21" ht="12.75" hidden="1" customHeight="1">
      <c r="A93" s="296" t="s">
        <v>666</v>
      </c>
      <c r="B93" t="str">
        <f>IF('DAP4'!D55&lt;&gt;0,'DAP4'!D55,"")</f>
        <v/>
      </c>
      <c r="C93" s="303" t="s">
        <v>3436</v>
      </c>
      <c r="R93" s="303" t="s">
        <v>3425</v>
      </c>
      <c r="S93" s="303" t="s">
        <v>3425</v>
      </c>
    </row>
    <row r="94" spans="1:21" ht="12.75" hidden="1" customHeight="1">
      <c r="A94" s="296" t="s">
        <v>667</v>
      </c>
      <c r="B94" s="297"/>
    </row>
    <row r="95" spans="1:21" ht="12.75" hidden="1" customHeight="1">
      <c r="A95" s="296" t="s">
        <v>668</v>
      </c>
      <c r="B95" s="352" t="str">
        <f>IF('DAP4'!D55&lt;&gt;0,ZAKL_DATA!B18,"")</f>
        <v/>
      </c>
      <c r="C95" s="303" t="s">
        <v>3436</v>
      </c>
    </row>
    <row r="96" spans="1:21" ht="12.75" hidden="1" customHeight="1">
      <c r="A96" s="296" t="s">
        <v>669</v>
      </c>
      <c r="B96" s="297"/>
    </row>
    <row r="97" spans="1:23" ht="12.75" hidden="1" customHeight="1">
      <c r="A97" s="296" t="s">
        <v>670</v>
      </c>
      <c r="B97" s="352" t="str">
        <f>IF('DAP4'!D55&lt;&gt;0,+CONCATENATE('DAP1'!B28," ",'DAP1'!J28),"")</f>
        <v/>
      </c>
      <c r="C97" s="303" t="s">
        <v>3436</v>
      </c>
    </row>
    <row r="98" spans="1:23" ht="12.75" hidden="1" customHeight="1">
      <c r="A98" s="296" t="s">
        <v>671</v>
      </c>
      <c r="B98" s="297"/>
    </row>
    <row r="99" spans="1:23" ht="12.75" hidden="1" customHeight="1">
      <c r="A99" s="296" t="s">
        <v>672</v>
      </c>
      <c r="B99" s="352" t="str">
        <f>IF('DAP4'!D55&lt;&gt;0,ZAKL_DATA!B19,"")</f>
        <v/>
      </c>
      <c r="C99" s="303" t="s">
        <v>3436</v>
      </c>
    </row>
    <row r="100" spans="1:23" ht="12.75" hidden="1" customHeight="1">
      <c r="A100" s="296" t="s">
        <v>673</v>
      </c>
      <c r="B100" s="297"/>
      <c r="Q100" t="s">
        <v>629</v>
      </c>
      <c r="R100" s="296" t="s">
        <v>632</v>
      </c>
      <c r="S100" s="299" t="s">
        <v>633</v>
      </c>
      <c r="T100" s="299" t="s">
        <v>634</v>
      </c>
      <c r="U100" s="299" t="s">
        <v>635</v>
      </c>
      <c r="V100" s="299" t="s">
        <v>636</v>
      </c>
      <c r="W100" s="299" t="s">
        <v>637</v>
      </c>
    </row>
    <row r="101" spans="1:23" ht="12.75" hidden="1" customHeight="1">
      <c r="A101" s="296" t="s">
        <v>674</v>
      </c>
      <c r="B101" s="352" t="str">
        <f>IF('DAP4'!D55&lt;&gt;0,ZAKL_DATA!B18,"")</f>
        <v/>
      </c>
      <c r="C101" s="303" t="s">
        <v>3436</v>
      </c>
      <c r="R101" s="352" t="str">
        <f>IF('2Př'!B24&lt;&gt;"",'2Př'!B24,"")</f>
        <v/>
      </c>
      <c r="S101" s="352" t="str">
        <f>IF('2Př'!J24&lt;&gt;"",'2Př'!J24,"")</f>
        <v/>
      </c>
      <c r="T101" s="352" t="str">
        <f>IF('2Př'!B24&lt;&gt;"",MID('2Př'!B24,1,1),"")</f>
        <v/>
      </c>
      <c r="U101" t="str">
        <f>IF(AND('2Př'!D24&lt;&gt;"",'2Př'!D24&lt;&gt;0),'2Př'!D24,"")</f>
        <v/>
      </c>
      <c r="V101">
        <f>IF('2Př'!H24&lt;&gt;"",'2Př'!H24,"")</f>
        <v>0</v>
      </c>
      <c r="W101" t="str">
        <f>IF(AND('2Př'!F24&lt;&gt;"",'2Př'!F24&lt;&gt;0),'2Př'!F24,"")</f>
        <v/>
      </c>
    </row>
    <row r="102" spans="1:23" ht="12.75" hidden="1" customHeight="1">
      <c r="A102" s="296" t="s">
        <v>675</v>
      </c>
      <c r="B102" s="352" t="str">
        <f>IF('DAP4'!D55&lt;&gt;0,IF(ZAKL_DATA!B20&lt;&gt;"",VLOOKUP(ZAKL_DATA!B20,FU!J3:K253,2,FALSE),"CZ"),"")</f>
        <v/>
      </c>
      <c r="C102" s="303" t="s">
        <v>3436</v>
      </c>
      <c r="R102" s="297" t="str">
        <f>IF('2Př'!B25&lt;&gt;"",'2Př'!B25,"")</f>
        <v/>
      </c>
      <c r="S102" s="297" t="str">
        <f>IF('2Př'!J25&lt;&gt;"",'2Př'!J25,"")</f>
        <v/>
      </c>
      <c r="T102" s="297" t="str">
        <f>IF('2Př'!B25&lt;&gt;"",MID('2Př'!B25,1,1),"")</f>
        <v/>
      </c>
      <c r="U102" t="str">
        <f>IF(AND('2Př'!D25&lt;&gt;"",'2Př'!D25&lt;&gt;0),'2Př'!D25,"")</f>
        <v/>
      </c>
      <c r="V102">
        <f>IF('2Př'!H25&lt;&gt;"",'2Př'!H25,"")</f>
        <v>0</v>
      </c>
      <c r="W102" t="str">
        <f>IF(AND('2Př'!F25&lt;&gt;"",'2Př'!F25&lt;&gt;0),'2Př'!F25,"")</f>
        <v/>
      </c>
    </row>
    <row r="103" spans="1:23" ht="12.75" hidden="1" customHeight="1">
      <c r="A103" s="296" t="s">
        <v>676</v>
      </c>
      <c r="B103" s="297"/>
      <c r="R103" s="297" t="str">
        <f>IF('2Př'!B26&lt;&gt;"",'2Př'!B26,"")</f>
        <v/>
      </c>
      <c r="S103" s="297" t="str">
        <f>IF('2Př'!J26&lt;&gt;"",'2Př'!J26,"")</f>
        <v/>
      </c>
      <c r="T103" s="297" t="str">
        <f>IF('2Př'!B26&lt;&gt;"",MID('2Př'!B26,1,1),"")</f>
        <v/>
      </c>
      <c r="U103" t="str">
        <f>IF(AND('2Př'!D26&lt;&gt;"",'2Př'!D26&lt;&gt;0),'2Př'!D26,"")</f>
        <v/>
      </c>
      <c r="V103">
        <f>IF('2Př'!H26&lt;&gt;"",'2Př'!H26,"")</f>
        <v>0</v>
      </c>
      <c r="W103" t="str">
        <f>IF(AND('2Př'!F26&lt;&gt;"",'2Př'!F26&lt;&gt;0),'2Př'!F26,"")</f>
        <v/>
      </c>
    </row>
    <row r="104" spans="1:23" ht="12.75" hidden="1" customHeight="1">
      <c r="A104" s="296" t="s">
        <v>677</v>
      </c>
      <c r="B104" s="297"/>
      <c r="R104" s="297" t="str">
        <f>IF('2Př'!B27&lt;&gt;"",'2Př'!B27,"")</f>
        <v/>
      </c>
      <c r="S104" s="297" t="str">
        <f>IF('2Př'!J27&lt;&gt;"",'2Př'!J27,"")</f>
        <v/>
      </c>
      <c r="T104" s="297" t="str">
        <f>IF('2Př'!B27&lt;&gt;"",MID('2Př'!B27,1,1),"")</f>
        <v/>
      </c>
      <c r="U104" t="str">
        <f>IF(AND('2Př'!D27&lt;&gt;"",'2Př'!D27&lt;&gt;0),'2Př'!D27,"")</f>
        <v/>
      </c>
      <c r="V104">
        <f>IF('2Př'!H27&lt;&gt;"",'2Př'!H27,"")</f>
        <v>0</v>
      </c>
      <c r="W104" t="str">
        <f>IF(AND('2Př'!F27&lt;&gt;"",'2Př'!F27&lt;&gt;0),'2Př'!F27,"")</f>
        <v/>
      </c>
    </row>
    <row r="105" spans="1:23" ht="12.75" hidden="1" customHeight="1">
      <c r="A105" s="296" t="s">
        <v>678</v>
      </c>
      <c r="B105" s="297" t="str">
        <f>IF('DAP4'!D55&lt;&gt;0,ZAKL_DATA!B16,"")</f>
        <v/>
      </c>
      <c r="C105" s="303" t="s">
        <v>3436</v>
      </c>
    </row>
    <row r="106" spans="1:23" ht="12.75" hidden="1" customHeight="1">
      <c r="A106" s="296" t="s">
        <v>679</v>
      </c>
      <c r="B106" s="352" t="str">
        <f>IF('DAP4'!D55&lt;&gt;0,IF('DAP4'!G57&lt;&gt;"","U","A"),"")</f>
        <v/>
      </c>
      <c r="C106" s="303" t="s">
        <v>3436</v>
      </c>
      <c r="T106" s="303"/>
    </row>
    <row r="107" spans="1:23" ht="12.75" hidden="1" customHeight="1">
      <c r="A107" s="296" t="s">
        <v>680</v>
      </c>
      <c r="B107" s="352" t="str">
        <f>IF('DAP4'!D55&lt;&gt;0,IF(ISNUMBER(FIND("-",ZAKL_DATA!B32)),MID(ZAKL_DATA!B32,(FIND("-",ZAKL_DATA!B32,1))+1,LEN(ZAKL_DATA!B32)),ZAKL_DATA!B32),"")</f>
        <v/>
      </c>
      <c r="C107" s="303" t="s">
        <v>3436</v>
      </c>
    </row>
    <row r="108" spans="1:23" ht="12.75" hidden="1" customHeight="1">
      <c r="A108" s="296" t="s">
        <v>681</v>
      </c>
      <c r="C108" s="303" t="s">
        <v>3436</v>
      </c>
    </row>
    <row r="109" spans="1:23" ht="12.75" hidden="1" customHeight="1">
      <c r="A109" s="296" t="s">
        <v>682</v>
      </c>
      <c r="B109" s="352" t="str">
        <f>IF('DAP4'!D55&lt;&gt;0,IF(ISNUMBER(FIND("/",ZAKL_DATA!B17)),MID(ZAKL_DATA!B17,(FIND("/",ZAKL_DATA!B17,1))+1,LEN(ZAKL_DATA!B17)),""),"")</f>
        <v/>
      </c>
      <c r="C109" s="303" t="s">
        <v>3436</v>
      </c>
    </row>
    <row r="110" spans="1:23" ht="12.75" hidden="1" customHeight="1">
      <c r="A110" s="296" t="s">
        <v>683</v>
      </c>
      <c r="B110" t="str">
        <f>IF('DAP4'!D55&lt;&gt;0,IF(ISNUMBER(FIND("/",ZAKL_DATA!B17)),LEFT(ZAKL_DATA!B17,(FIND("/",ZAKL_DATA!B17,1))-1),ZAKL_DATA!B17),"")</f>
        <v/>
      </c>
      <c r="C110" s="303" t="s">
        <v>3436</v>
      </c>
      <c r="Q110" t="s">
        <v>631</v>
      </c>
      <c r="R110" s="296" t="s">
        <v>641</v>
      </c>
      <c r="S110" s="299" t="s">
        <v>642</v>
      </c>
      <c r="T110" s="299" t="s">
        <v>643</v>
      </c>
    </row>
    <row r="111" spans="1:23" ht="12.75" hidden="1" customHeight="1">
      <c r="A111" s="296" t="s">
        <v>684</v>
      </c>
      <c r="B111" s="352" t="str">
        <f>IF('DAP4'!D55&lt;&gt;0,ZAKL_DATA!B4,"")</f>
        <v/>
      </c>
      <c r="C111" s="303" t="s">
        <v>3436</v>
      </c>
      <c r="R111" s="297"/>
      <c r="T111" s="297"/>
    </row>
    <row r="112" spans="1:23" ht="12.75" hidden="1" customHeight="1">
      <c r="A112" s="296" t="s">
        <v>685</v>
      </c>
      <c r="B112" t="str">
        <f>IF('DAP4'!D55&lt;&gt;0,ZAKL_DATA!B33,"")</f>
        <v/>
      </c>
      <c r="C112" s="303" t="s">
        <v>3436</v>
      </c>
    </row>
    <row r="113" spans="1:27" ht="12.75" hidden="1" customHeight="1">
      <c r="A113" s="296" t="s">
        <v>686</v>
      </c>
      <c r="B113" s="352" t="str">
        <f>IF('DAP4'!D55&lt;&gt;0,ZAKL_DATA!B34,"")</f>
        <v/>
      </c>
      <c r="C113" s="303" t="s">
        <v>3436</v>
      </c>
      <c r="Q113" s="303" t="s">
        <v>3434</v>
      </c>
      <c r="R113" s="357" t="s">
        <v>3430</v>
      </c>
      <c r="S113" s="353"/>
      <c r="T113" s="353"/>
    </row>
    <row r="114" spans="1:27" ht="12.75" hidden="1" customHeight="1">
      <c r="A114" s="296" t="s">
        <v>687</v>
      </c>
      <c r="B114" s="352" t="str">
        <f>IF('DAP4'!D55&lt;&gt;0,ZAKL_DATA!B18,"")</f>
        <v/>
      </c>
      <c r="C114" s="303" t="s">
        <v>3436</v>
      </c>
    </row>
    <row r="115" spans="1:27" ht="12.75" hidden="1" customHeight="1">
      <c r="A115" s="296" t="s">
        <v>688</v>
      </c>
      <c r="B115" t="str">
        <f>IF('DAP4'!D55&lt;&gt;0,IF(ISNUMBER(FIND("-",ZAKL_DATA!B32)),LEFT(ZAKL_DATA!B32,(FIND("-",ZAKL_DATA!B32,1))-1),""),"")</f>
        <v/>
      </c>
      <c r="C115" s="303" t="s">
        <v>3436</v>
      </c>
    </row>
    <row r="116" spans="1:27" ht="12.75" hidden="1" customHeight="1">
      <c r="A116" s="296" t="s">
        <v>689</v>
      </c>
      <c r="B116" s="352" t="str">
        <f>IF('DAP4'!D55&lt;&gt;0,ZAKL_DATA!B5,"")</f>
        <v/>
      </c>
      <c r="C116" s="303" t="s">
        <v>3436</v>
      </c>
    </row>
    <row r="117" spans="1:27" ht="12.75" hidden="1" customHeight="1">
      <c r="A117" s="296" t="s">
        <v>690</v>
      </c>
      <c r="B117" t="str">
        <f>IF('DAP4'!D55&lt;&gt;0,ZAKL_DATA!B19,"")</f>
        <v/>
      </c>
      <c r="C117" s="303" t="s">
        <v>3436</v>
      </c>
    </row>
    <row r="118" spans="1:27" ht="12.75" hidden="1" customHeight="1">
      <c r="A118" s="296" t="s">
        <v>691</v>
      </c>
      <c r="B118" s="352" t="str">
        <f>IF('DAP4'!D55&lt;&gt;0,'DAP4'!H58,"")</f>
        <v/>
      </c>
      <c r="C118" s="303" t="s">
        <v>3436</v>
      </c>
    </row>
    <row r="119" spans="1:27" ht="12.75" hidden="1" customHeight="1">
      <c r="A119" s="296" t="s">
        <v>692</v>
      </c>
      <c r="B119" s="352" t="str">
        <f>IF('DAP4'!D55&lt;&gt;0,ZAKL_DATA!B7,"")</f>
        <v/>
      </c>
      <c r="C119" s="303" t="s">
        <v>3436</v>
      </c>
    </row>
    <row r="120" spans="1:27" ht="12.75" hidden="1" customHeight="1">
      <c r="A120" s="296" t="s">
        <v>693</v>
      </c>
      <c r="B120" s="352" t="str">
        <f>IF('DAP4'!D55&lt;&gt;0,ZAKL_DATA!B16,"")</f>
        <v/>
      </c>
      <c r="C120" s="303" t="s">
        <v>3436</v>
      </c>
      <c r="Q120" t="s">
        <v>644</v>
      </c>
      <c r="R120" s="296" t="s">
        <v>646</v>
      </c>
      <c r="S120" s="299" t="s">
        <v>647</v>
      </c>
      <c r="T120" s="299" t="s">
        <v>648</v>
      </c>
      <c r="U120" s="299" t="s">
        <v>649</v>
      </c>
      <c r="V120" s="299" t="s">
        <v>650</v>
      </c>
      <c r="W120" s="299" t="s">
        <v>651</v>
      </c>
      <c r="X120" s="299" t="s">
        <v>652</v>
      </c>
      <c r="Y120" s="299" t="s">
        <v>653</v>
      </c>
      <c r="Z120" s="299" t="s">
        <v>654</v>
      </c>
      <c r="AA120" s="299" t="s">
        <v>655</v>
      </c>
    </row>
    <row r="121" spans="1:27" ht="12.75" hidden="1" customHeight="1">
      <c r="R121" s="355">
        <f>'3Př_a'!F17</f>
        <v>0</v>
      </c>
      <c r="S121" s="354">
        <f>'3Př_a'!F14</f>
        <v>0</v>
      </c>
      <c r="T121" s="354">
        <f>'3Př_a'!F12</f>
        <v>0</v>
      </c>
      <c r="U121" s="354">
        <f>'3Př_a'!F13</f>
        <v>0</v>
      </c>
      <c r="V121" s="355">
        <f>'3Př_a'!F16</f>
        <v>0</v>
      </c>
      <c r="W121" s="354">
        <f>'3Př_a'!F12</f>
        <v>0</v>
      </c>
      <c r="X121" s="354">
        <f>'3Př_a'!F13</f>
        <v>0</v>
      </c>
      <c r="Y121" s="352" t="str">
        <f>IF('3Př_a'!C8&lt;&gt;"",'3Př_a'!C8,"")</f>
        <v/>
      </c>
      <c r="Z121">
        <f>'3Př_a'!F15*100</f>
        <v>0</v>
      </c>
      <c r="AA121" s="355">
        <f>'3Př_a'!F18</f>
        <v>0</v>
      </c>
    </row>
    <row r="123" spans="1:27" ht="12.75" hidden="1" customHeight="1">
      <c r="T123" s="357" t="s">
        <v>3431</v>
      </c>
      <c r="U123" s="353"/>
    </row>
    <row r="124" spans="1:27" ht="12.75" hidden="1" customHeight="1">
      <c r="T124" s="303" t="s">
        <v>3435</v>
      </c>
    </row>
    <row r="130" spans="17:55" ht="12.75" hidden="1" customHeight="1">
      <c r="Q130" t="s">
        <v>645</v>
      </c>
      <c r="R130" s="296" t="s">
        <v>656</v>
      </c>
      <c r="S130" s="299" t="s">
        <v>657</v>
      </c>
      <c r="T130" s="299" t="s">
        <v>658</v>
      </c>
      <c r="U130" s="299" t="s">
        <v>659</v>
      </c>
      <c r="V130" s="299" t="s">
        <v>660</v>
      </c>
    </row>
    <row r="131" spans="17:55" ht="12.75" hidden="1" customHeight="1">
      <c r="R131" s="352">
        <f>IF('6Př'!B12&lt;&gt;"",'6Př'!B12,"")</f>
        <v>2023</v>
      </c>
      <c r="S131">
        <f>IF('6Př'!C12&lt;&gt;"",'6Př'!C12,"")</f>
        <v>0</v>
      </c>
      <c r="T131">
        <f>IF('6Př'!D12&lt;&gt;"",'6Př'!D12,"")</f>
        <v>0</v>
      </c>
      <c r="U131">
        <f>IF('6Př'!E12&lt;&gt;"",'6Př'!E12,"")</f>
        <v>0</v>
      </c>
      <c r="V131">
        <f>IF('6Př'!F12&lt;&gt;"",'6Př'!F12,"")</f>
        <v>0</v>
      </c>
      <c r="X131" s="303" t="s">
        <v>3425</v>
      </c>
    </row>
    <row r="132" spans="17:55" ht="12.75" hidden="1" customHeight="1">
      <c r="R132" s="297" t="str">
        <f>IF('6Př'!B13&lt;&gt;"",'6Př'!B13,"")</f>
        <v/>
      </c>
      <c r="S132" t="str">
        <f>IF('6Př'!C13&lt;&gt;"",'6Př'!C13,"")</f>
        <v/>
      </c>
      <c r="T132" t="str">
        <f>IF('6Př'!D13&lt;&gt;"",'6Př'!D13,"")</f>
        <v/>
      </c>
      <c r="U132" t="str">
        <f>IF('6Př'!E13&lt;&gt;"",'6Př'!E13,"")</f>
        <v/>
      </c>
      <c r="V132">
        <f>IF('6Př'!F13&lt;&gt;"",'6Př'!F13,"")</f>
        <v>0</v>
      </c>
    </row>
    <row r="133" spans="17:55" ht="12.75" hidden="1" customHeight="1">
      <c r="R133" s="297" t="str">
        <f>IF('6Př'!B14&lt;&gt;"",'6Př'!B14,"")</f>
        <v/>
      </c>
      <c r="S133" t="str">
        <f>IF('6Př'!C14&lt;&gt;"",'6Př'!C14,"")</f>
        <v/>
      </c>
      <c r="T133" t="str">
        <f>IF('6Př'!D14&lt;&gt;"",'6Př'!D14,"")</f>
        <v/>
      </c>
      <c r="U133" t="str">
        <f>IF('6Př'!E14&lt;&gt;"",'6Př'!E14,"")</f>
        <v/>
      </c>
      <c r="V133">
        <f>IF('6Př'!F14&lt;&gt;"",'6Př'!F14,"")</f>
        <v>0</v>
      </c>
    </row>
    <row r="134" spans="17:55" ht="12.75" hidden="1" customHeight="1">
      <c r="R134" s="297" t="str">
        <f>IF('6Př'!B15&lt;&gt;"",'6Př'!B15,"")</f>
        <v/>
      </c>
      <c r="S134" t="str">
        <f>IF('6Př'!C15&lt;&gt;"",'6Př'!C15,"")</f>
        <v/>
      </c>
      <c r="T134" t="str">
        <f>IF('6Př'!D15&lt;&gt;"",'6Př'!D15,"")</f>
        <v/>
      </c>
      <c r="U134" t="str">
        <f>IF('6Př'!E15&lt;&gt;"",'6Př'!E15,"")</f>
        <v/>
      </c>
      <c r="V134">
        <f>IF('6Př'!F15&lt;&gt;"",'6Př'!F15,"")</f>
        <v>0</v>
      </c>
    </row>
    <row r="135" spans="17:55" ht="12.75" hidden="1" customHeight="1">
      <c r="R135" s="297" t="str">
        <f>IF('6Př'!B16&lt;&gt;"",'6Př'!B16,"")</f>
        <v/>
      </c>
      <c r="S135" t="str">
        <f>IF('6Př'!C16&lt;&gt;"",'6Př'!C16,"")</f>
        <v/>
      </c>
      <c r="T135" t="str">
        <f>IF('6Př'!D16&lt;&gt;"",'6Př'!D16,"")</f>
        <v/>
      </c>
      <c r="U135" t="str">
        <f>IF('6Př'!E16&lt;&gt;"",'6Př'!E16,"")</f>
        <v/>
      </c>
      <c r="V135">
        <f>IF('6Př'!F16&lt;&gt;"",'6Př'!F16,"")</f>
        <v>0</v>
      </c>
    </row>
    <row r="136" spans="17:55" ht="12.75" hidden="1" customHeight="1">
      <c r="R136" s="297" t="str">
        <f>IF('6Př'!B17&lt;&gt;"",'6Př'!B17,"")</f>
        <v/>
      </c>
      <c r="S136" t="str">
        <f>IF('6Př'!C17&lt;&gt;"",'6Př'!C17,"")</f>
        <v/>
      </c>
      <c r="T136" t="str">
        <f>IF('6Př'!D17&lt;&gt;"",'6Př'!D17,"")</f>
        <v/>
      </c>
      <c r="U136" t="str">
        <f>IF('6Př'!E17&lt;&gt;"",'6Př'!E17,"")</f>
        <v/>
      </c>
      <c r="V136">
        <f>IF('6Př'!F17&lt;&gt;"",'6Př'!F17,"")</f>
        <v>0</v>
      </c>
    </row>
    <row r="137" spans="17:55" ht="12.75" hidden="1" customHeight="1">
      <c r="R137" s="297" t="str">
        <f>IF('6Př'!B18&lt;&gt;"",'6Př'!B18,"")</f>
        <v/>
      </c>
      <c r="S137" t="str">
        <f>IF('6Př'!C18&lt;&gt;"",'6Př'!C18,"")</f>
        <v/>
      </c>
      <c r="T137" t="str">
        <f>IF('6Př'!D18&lt;&gt;"",'6Př'!D18,"")</f>
        <v/>
      </c>
      <c r="U137" t="str">
        <f>IF('6Př'!E18&lt;&gt;"",'6Př'!E18,"")</f>
        <v/>
      </c>
      <c r="V137">
        <f>IF('6Př'!F18&lt;&gt;"",'6Př'!F18,"")</f>
        <v>0</v>
      </c>
    </row>
    <row r="138" spans="17:55" ht="12.75" hidden="1" customHeight="1">
      <c r="R138" s="297" t="str">
        <f>IF('6Př'!B19&lt;&gt;"",'6Př'!B19,"")</f>
        <v/>
      </c>
      <c r="S138" t="str">
        <f>IF('6Př'!C19&lt;&gt;"",'6Př'!C19,"")</f>
        <v/>
      </c>
      <c r="T138" t="str">
        <f>IF('6Př'!D19&lt;&gt;"",'6Př'!D19,"")</f>
        <v/>
      </c>
      <c r="U138" t="str">
        <f>IF('6Př'!E19&lt;&gt;"",'6Př'!E19,"")</f>
        <v/>
      </c>
      <c r="V138">
        <f>IF('6Př'!F19&lt;&gt;"",'6Př'!F19,"")</f>
        <v>0</v>
      </c>
    </row>
    <row r="140" spans="17:55" ht="12.75" hidden="1" customHeight="1">
      <c r="R140" s="303" t="s">
        <v>3425</v>
      </c>
      <c r="S140" s="303" t="s">
        <v>3425</v>
      </c>
      <c r="T140" s="303" t="s">
        <v>3425</v>
      </c>
      <c r="U140" s="303" t="s">
        <v>3425</v>
      </c>
      <c r="V140" s="303" t="s">
        <v>3425</v>
      </c>
    </row>
    <row r="143" spans="17:55" ht="12.75" hidden="1" customHeight="1">
      <c r="Q143" t="s">
        <v>694</v>
      </c>
      <c r="R143" s="296" t="s">
        <v>696</v>
      </c>
      <c r="S143" s="299" t="s">
        <v>697</v>
      </c>
      <c r="T143" s="299" t="s">
        <v>698</v>
      </c>
      <c r="U143" s="299" t="s">
        <v>699</v>
      </c>
      <c r="V143" s="299" t="s">
        <v>700</v>
      </c>
      <c r="W143" s="296" t="s">
        <v>3557</v>
      </c>
      <c r="AL143" s="296"/>
      <c r="AM143" s="296"/>
      <c r="AN143" s="296"/>
      <c r="AO143" s="296"/>
      <c r="AP143" s="296"/>
      <c r="AQ143" s="296"/>
      <c r="AR143" s="296"/>
      <c r="AS143" s="296"/>
      <c r="AT143" s="296"/>
      <c r="AU143" s="296"/>
      <c r="AV143" s="296"/>
      <c r="AW143" s="296"/>
      <c r="AX143" s="296"/>
      <c r="AY143" s="296"/>
      <c r="AZ143" s="296"/>
      <c r="BA143" s="296"/>
      <c r="BB143" s="296"/>
      <c r="BC143" s="296"/>
    </row>
    <row r="144" spans="17:55" ht="12.75" hidden="1" customHeight="1">
      <c r="R144" s="354"/>
    </row>
    <row r="146" spans="17:22" ht="12.75" hidden="1" customHeight="1">
      <c r="R146" s="357" t="s">
        <v>3432</v>
      </c>
      <c r="S146" s="353"/>
      <c r="T146" s="353"/>
      <c r="U146" s="353"/>
      <c r="V146" s="353"/>
    </row>
    <row r="153" spans="17:22" ht="12.75" hidden="1" customHeight="1">
      <c r="Q153" t="s">
        <v>695</v>
      </c>
      <c r="R153" s="296" t="s">
        <v>701</v>
      </c>
      <c r="S153" s="299" t="s">
        <v>702</v>
      </c>
      <c r="T153" s="299" t="s">
        <v>703</v>
      </c>
      <c r="U153" s="299" t="s">
        <v>704</v>
      </c>
      <c r="V153" s="299" t="s">
        <v>705</v>
      </c>
    </row>
    <row r="154" spans="17:22" ht="12.75" hidden="1" customHeight="1">
      <c r="R154" t="str">
        <f>IF(Př_b!E10&lt;&gt;"",Př_b!E10,"")</f>
        <v/>
      </c>
      <c r="S154" s="352" t="str">
        <f>IF(AND(Př_b!B10&lt;&gt;"",Př_b!B10&lt;&gt;0),Př_b!B10,"")</f>
        <v/>
      </c>
      <c r="T154" s="352" t="str">
        <f>IF(AND(Př_b!C10&lt;&gt;"",Př_b!C10&lt;&gt;0),VLOOKUP(Př_b!C10,FU!$J$3:$K$253,2,FALSE),"")</f>
        <v/>
      </c>
      <c r="U154" t="str">
        <f>IF(Př_b!F10&lt;&gt;"",Př_b!F10,"")</f>
        <v/>
      </c>
      <c r="V154" s="303" t="str">
        <f>IF(Př_b!D10&lt;&gt;"",Př_b!D10,"")</f>
        <v/>
      </c>
    </row>
    <row r="155" spans="17:22" ht="12.75" hidden="1" customHeight="1">
      <c r="R155" t="str">
        <f>IF(Př_b!E11&lt;&gt;"",Př_b!E11,"")</f>
        <v/>
      </c>
      <c r="S155" s="297" t="str">
        <f>IF(AND(Př_b!B11&lt;&gt;"",Př_b!B11&lt;&gt;0),Př_b!B11,"")</f>
        <v/>
      </c>
      <c r="T155" s="297" t="str">
        <f>IF(AND(Př_b!C11&lt;&gt;"",Př_b!C11&lt;&gt;0),VLOOKUP(Př_b!C11,FU!$J$3:$K$253,2,FALSE),"")</f>
        <v/>
      </c>
      <c r="U155" t="str">
        <f>IF(Př_b!F11&lt;&gt;"",Př_b!F11,"")</f>
        <v/>
      </c>
      <c r="V155" t="str">
        <f>IF(Př_b!D11&lt;&gt;"",Př_b!D11,"")</f>
        <v/>
      </c>
    </row>
    <row r="156" spans="17:22" ht="12.75" hidden="1" customHeight="1">
      <c r="R156" t="str">
        <f>IF(Př_b!E12&lt;&gt;"",Př_b!E12,"")</f>
        <v/>
      </c>
      <c r="S156" s="297" t="str">
        <f>IF(AND(Př_b!B12&lt;&gt;"",Př_b!B12&lt;&gt;0),Př_b!B12,"")</f>
        <v/>
      </c>
      <c r="T156" s="297" t="str">
        <f>IF(AND(Př_b!C12&lt;&gt;"",Př_b!C12&lt;&gt;0),VLOOKUP(Př_b!C12,FU!$J$3:$K$253,2,FALSE),"")</f>
        <v/>
      </c>
      <c r="U156" t="str">
        <f>IF(Př_b!F12&lt;&gt;"",Př_b!F12,"")</f>
        <v/>
      </c>
      <c r="V156" t="str">
        <f>IF(Př_b!D12&lt;&gt;"",Př_b!D12,"")</f>
        <v/>
      </c>
    </row>
    <row r="157" spans="17:22" ht="12.75" hidden="1" customHeight="1">
      <c r="R157" t="str">
        <f>IF(Př_b!E13&lt;&gt;"",Př_b!E13,"")</f>
        <v/>
      </c>
      <c r="S157" s="297" t="str">
        <f>IF(AND(Př_b!B13&lt;&gt;"",Př_b!B13&lt;&gt;0),Př_b!B13,"")</f>
        <v/>
      </c>
      <c r="T157" s="297" t="str">
        <f>IF(AND(Př_b!C13&lt;&gt;"",Př_b!C13&lt;&gt;0),VLOOKUP(Př_b!C13,FU!$J$3:$K$253,2,FALSE),"")</f>
        <v/>
      </c>
      <c r="U157" t="str">
        <f>IF(Př_b!F13&lt;&gt;"",Př_b!F13,"")</f>
        <v/>
      </c>
      <c r="V157" t="str">
        <f>IF(Př_b!D13&lt;&gt;"",Př_b!D13,"")</f>
        <v/>
      </c>
    </row>
    <row r="158" spans="17:22" ht="12.75" hidden="1" customHeight="1">
      <c r="R158" t="str">
        <f>IF(Př_b!E14&lt;&gt;"",Př_b!E14,"")</f>
        <v/>
      </c>
      <c r="S158" s="297" t="str">
        <f>IF(AND(Př_b!B14&lt;&gt;"",Př_b!B14&lt;&gt;0),Př_b!B14,"")</f>
        <v/>
      </c>
      <c r="T158" s="297" t="str">
        <f>IF(AND(Př_b!C14&lt;&gt;"",Př_b!C14&lt;&gt;0),VLOOKUP(Př_b!C14,FU!$J$3:$K$253,2,FALSE),"")</f>
        <v/>
      </c>
      <c r="U158" t="str">
        <f>IF(Př_b!F14&lt;&gt;"",Př_b!F14,"")</f>
        <v/>
      </c>
      <c r="V158" t="str">
        <f>IF(Př_b!D14&lt;&gt;"",Př_b!D14,"")</f>
        <v/>
      </c>
    </row>
    <row r="159" spans="17:22" ht="12.75" hidden="1" customHeight="1">
      <c r="R159" t="str">
        <f>IF(Př_b!E15&lt;&gt;"",Př_b!E15,"")</f>
        <v/>
      </c>
      <c r="S159" s="297" t="str">
        <f>IF(AND(Př_b!B15&lt;&gt;"",Př_b!B15&lt;&gt;0),Př_b!B15,"")</f>
        <v/>
      </c>
      <c r="T159" s="297" t="str">
        <f>IF(AND(Př_b!C15&lt;&gt;"",Př_b!C15&lt;&gt;0),VLOOKUP(Př_b!C15,FU!$J$3:$K$253,2,FALSE),"")</f>
        <v/>
      </c>
      <c r="U159" t="str">
        <f>IF(Př_b!F15&lt;&gt;"",Př_b!F15,"")</f>
        <v/>
      </c>
      <c r="V159" t="str">
        <f>IF(Př_b!D15&lt;&gt;"",Př_b!D15,"")</f>
        <v/>
      </c>
    </row>
    <row r="160" spans="17:22" ht="12.75" hidden="1" customHeight="1">
      <c r="R160" t="str">
        <f>IF(Př_b!E16&lt;&gt;"",Př_b!E16,"")</f>
        <v/>
      </c>
      <c r="S160" s="297" t="str">
        <f>IF(AND(Př_b!B16&lt;&gt;"",Př_b!B16&lt;&gt;0),Př_b!B16,"")</f>
        <v/>
      </c>
      <c r="T160" s="297" t="str">
        <f>IF(AND(Př_b!C16&lt;&gt;"",Př_b!C16&lt;&gt;0),VLOOKUP(Př_b!C16,FU!$J$3:$K$253,2,FALSE),"")</f>
        <v/>
      </c>
      <c r="U160" t="str">
        <f>IF(Př_b!F16&lt;&gt;"",Př_b!F16,"")</f>
        <v/>
      </c>
      <c r="V160" t="str">
        <f>IF(Př_b!D16&lt;&gt;"",Př_b!D16,"")</f>
        <v/>
      </c>
    </row>
    <row r="161" spans="18:28" ht="12.75" hidden="1" customHeight="1">
      <c r="R161" t="str">
        <f>IF(Př_b!E17&lt;&gt;"",Př_b!E17,"")</f>
        <v/>
      </c>
      <c r="S161" s="297" t="str">
        <f>IF(AND(Př_b!B17&lt;&gt;"",Př_b!B17&lt;&gt;0),Př_b!B17,"")</f>
        <v/>
      </c>
      <c r="T161" s="297" t="str">
        <f>IF(AND(Př_b!C17&lt;&gt;"",Př_b!C17&lt;&gt;0),VLOOKUP(Př_b!C17,FU!$J$3:$K$253,2,FALSE),"")</f>
        <v/>
      </c>
      <c r="U161" t="str">
        <f>IF(Př_b!F17&lt;&gt;"",Př_b!F17,"")</f>
        <v/>
      </c>
      <c r="V161" t="str">
        <f>IF(Př_b!D17&lt;&gt;"",Př_b!D17,"")</f>
        <v/>
      </c>
    </row>
    <row r="162" spans="18:28" ht="12.75" hidden="1" customHeight="1">
      <c r="R162" t="str">
        <f>IF(Př_b!E18&lt;&gt;"",Př_b!E18,"")</f>
        <v/>
      </c>
      <c r="S162" s="297" t="str">
        <f>IF(AND(Př_b!B18&lt;&gt;"",Př_b!B18&lt;&gt;0),Př_b!B18,"")</f>
        <v/>
      </c>
      <c r="T162" s="297" t="str">
        <f>IF(AND(Př_b!C18&lt;&gt;"",Př_b!C18&lt;&gt;0),VLOOKUP(Př_b!C18,FU!$J$3:$K$253,2,FALSE),"")</f>
        <v/>
      </c>
      <c r="U162" t="str">
        <f>IF(Př_b!F18&lt;&gt;"",Př_b!F18,"")</f>
        <v/>
      </c>
      <c r="V162" t="str">
        <f>IF(Př_b!D18&lt;&gt;"",Př_b!D18,"")</f>
        <v/>
      </c>
    </row>
    <row r="163" spans="18:28" ht="12.75" hidden="1" customHeight="1">
      <c r="R163" t="str">
        <f>IF(Př_b!E19&lt;&gt;"",Př_b!E19,"")</f>
        <v/>
      </c>
      <c r="S163" s="297" t="str">
        <f>IF(AND(Př_b!B19&lt;&gt;"",Př_b!B19&lt;&gt;0),Př_b!B19,"")</f>
        <v/>
      </c>
      <c r="T163" s="297" t="str">
        <f>IF(AND(Př_b!C19&lt;&gt;"",Př_b!C19&lt;&gt;0),VLOOKUP(Př_b!C19,FU!$J$3:$K$253,2,FALSE),"")</f>
        <v/>
      </c>
      <c r="U163" t="str">
        <f>IF(Př_b!F19&lt;&gt;"",Př_b!F19,"")</f>
        <v/>
      </c>
      <c r="V163" t="str">
        <f>IF(Př_b!D19&lt;&gt;"",Př_b!D19,"")</f>
        <v/>
      </c>
    </row>
    <row r="164" spans="18:28" ht="12.75" hidden="1" customHeight="1">
      <c r="R164" t="str">
        <f>IF(Př_b!E20&lt;&gt;"",Př_b!E20,"")</f>
        <v/>
      </c>
      <c r="S164" s="297" t="str">
        <f>IF(AND(Př_b!B20&lt;&gt;"",Př_b!B20&lt;&gt;0),Př_b!B20,"")</f>
        <v/>
      </c>
      <c r="T164" s="297" t="str">
        <f>IF(AND(Př_b!C20&lt;&gt;"",Př_b!C20&lt;&gt;0),VLOOKUP(Př_b!C20,FU!$J$3:$K$253,2,FALSE),"")</f>
        <v/>
      </c>
      <c r="U164" t="str">
        <f>IF(Př_b!F20&lt;&gt;"",Př_b!F20,"")</f>
        <v/>
      </c>
      <c r="V164" t="str">
        <f>IF(Př_b!D20&lt;&gt;"",Př_b!D20,"")</f>
        <v/>
      </c>
    </row>
    <row r="165" spans="18:28" ht="12.75" hidden="1" customHeight="1">
      <c r="R165" t="str">
        <f>IF(Př_b!E21&lt;&gt;"",Př_b!E21,"")</f>
        <v/>
      </c>
      <c r="S165" s="297" t="str">
        <f>IF(AND(Př_b!B21&lt;&gt;"",Př_b!B21&lt;&gt;0),Př_b!B21,"")</f>
        <v/>
      </c>
      <c r="T165" s="297" t="str">
        <f>IF(AND(Př_b!C21&lt;&gt;"",Př_b!C21&lt;&gt;0),VLOOKUP(Př_b!C21,FU!$J$3:$K$253,2,FALSE),"")</f>
        <v/>
      </c>
      <c r="U165" t="str">
        <f>IF(Př_b!F21&lt;&gt;"",Př_b!F21,"")</f>
        <v/>
      </c>
      <c r="V165" t="str">
        <f>IF(Př_b!D21&lt;&gt;"",Př_b!D21,"")</f>
        <v/>
      </c>
    </row>
    <row r="166" spans="18:28" ht="12.75" hidden="1" customHeight="1">
      <c r="R166" t="str">
        <f>IF(Př_b!E22&lt;&gt;"",Př_b!E22,"")</f>
        <v/>
      </c>
      <c r="S166" s="297" t="str">
        <f>IF(AND(Př_b!B22&lt;&gt;"",Př_b!B22&lt;&gt;0),Př_b!B22,"")</f>
        <v/>
      </c>
      <c r="T166" s="297" t="str">
        <f>IF(AND(Př_b!C22&lt;&gt;"",Př_b!C22&lt;&gt;0),VLOOKUP(Př_b!C22,FU!$J$3:$K$253,2,FALSE),"")</f>
        <v/>
      </c>
      <c r="U166" t="str">
        <f>IF(Př_b!F22&lt;&gt;"",Př_b!F22,"")</f>
        <v/>
      </c>
      <c r="V166" t="str">
        <f>IF(Př_b!D22&lt;&gt;"",Př_b!D22,"")</f>
        <v/>
      </c>
    </row>
    <row r="167" spans="18:28" ht="12.75" hidden="1" customHeight="1">
      <c r="R167" t="str">
        <f>IF(Př_b!E23&lt;&gt;"",Př_b!E23,"")</f>
        <v/>
      </c>
      <c r="S167" s="297" t="str">
        <f>IF(AND(Př_b!B23&lt;&gt;"",Př_b!B23&lt;&gt;0),Př_b!B23,"")</f>
        <v/>
      </c>
      <c r="T167" s="297" t="str">
        <f>IF(AND(Př_b!C23&lt;&gt;"",Př_b!C23&lt;&gt;0),VLOOKUP(Př_b!C23,FU!$J$3:$K$253,2,FALSE),"")</f>
        <v/>
      </c>
      <c r="U167" t="str">
        <f>IF(Př_b!F23&lt;&gt;"",Př_b!F23,"")</f>
        <v/>
      </c>
      <c r="V167" t="str">
        <f>IF(Př_b!D23&lt;&gt;"",Př_b!D23,"")</f>
        <v/>
      </c>
    </row>
    <row r="168" spans="18:28" ht="12.75" hidden="1" customHeight="1">
      <c r="R168" t="str">
        <f>IF(Př_b!E24&lt;&gt;"",Př_b!E24,"")</f>
        <v/>
      </c>
      <c r="S168" s="297" t="str">
        <f>IF(AND(Př_b!B24&lt;&gt;"",Př_b!B24&lt;&gt;0),Př_b!B24,"")</f>
        <v/>
      </c>
      <c r="T168" s="297" t="str">
        <f>IF(AND(Př_b!C24&lt;&gt;"",Př_b!C24&lt;&gt;0),VLOOKUP(Př_b!C24,FU!$J$3:$K$253,2,FALSE),"")</f>
        <v/>
      </c>
      <c r="U168" t="str">
        <f>IF(Př_b!F24&lt;&gt;"",Př_b!F24,"")</f>
        <v/>
      </c>
      <c r="V168" t="str">
        <f>IF(Př_b!D24&lt;&gt;"",Př_b!D24,"")</f>
        <v/>
      </c>
    </row>
    <row r="169" spans="18:28" ht="12.75" hidden="1" customHeight="1">
      <c r="R169" t="str">
        <f>IF(Př_b!E25&lt;&gt;"",Př_b!E25,"")</f>
        <v/>
      </c>
      <c r="S169" s="297" t="str">
        <f>IF(AND(Př_b!B25&lt;&gt;"",Př_b!B25&lt;&gt;0),Př_b!B25,"")</f>
        <v/>
      </c>
      <c r="T169" s="297" t="str">
        <f>IF(AND(Př_b!C25&lt;&gt;"",Př_b!C25&lt;&gt;0),VLOOKUP(Př_b!C25,FU!$J$3:$K$253,2,FALSE),"")</f>
        <v/>
      </c>
      <c r="U169" t="str">
        <f>IF(Př_b!F25&lt;&gt;"",Př_b!F25,"")</f>
        <v/>
      </c>
      <c r="V169" t="str">
        <f>IF(Př_b!D25&lt;&gt;"",Př_b!D25,"")</f>
        <v/>
      </c>
    </row>
    <row r="171" spans="18:28" ht="12.75" hidden="1" customHeight="1">
      <c r="R171" s="303" t="s">
        <v>3425</v>
      </c>
      <c r="S171" s="303" t="s">
        <v>3425</v>
      </c>
      <c r="T171" s="303" t="s">
        <v>3425</v>
      </c>
      <c r="U171" s="303" t="s">
        <v>3425</v>
      </c>
      <c r="V171" s="303" t="s">
        <v>3425</v>
      </c>
    </row>
    <row r="176" spans="18:28" ht="12.75" hidden="1" customHeight="1">
      <c r="AB176">
        <v>1</v>
      </c>
    </row>
    <row r="177" spans="17:55" ht="12.75" hidden="1" customHeight="1">
      <c r="Q177" t="s">
        <v>706</v>
      </c>
      <c r="R177" s="296" t="s">
        <v>708</v>
      </c>
      <c r="S177" s="299" t="s">
        <v>709</v>
      </c>
      <c r="T177" s="299" t="s">
        <v>710</v>
      </c>
      <c r="U177" s="299" t="s">
        <v>711</v>
      </c>
      <c r="V177" s="299" t="s">
        <v>712</v>
      </c>
      <c r="W177" s="299" t="s">
        <v>713</v>
      </c>
      <c r="Y177" s="303" t="s">
        <v>3668</v>
      </c>
      <c r="Z177" s="303" t="s">
        <v>3669</v>
      </c>
      <c r="AA177" s="303" t="s">
        <v>3670</v>
      </c>
      <c r="AB177" s="296" t="s">
        <v>708</v>
      </c>
      <c r="AC177" s="299" t="s">
        <v>709</v>
      </c>
      <c r="AD177" s="299" t="s">
        <v>714</v>
      </c>
      <c r="AE177" s="299" t="s">
        <v>715</v>
      </c>
      <c r="AI177" t="s">
        <v>707</v>
      </c>
      <c r="AJ177" s="296" t="s">
        <v>708</v>
      </c>
      <c r="AK177" s="299" t="s">
        <v>709</v>
      </c>
      <c r="AL177" s="299" t="s">
        <v>714</v>
      </c>
      <c r="AM177" s="299" t="s">
        <v>715</v>
      </c>
      <c r="AP177" t="s">
        <v>716</v>
      </c>
      <c r="AQ177" s="296" t="s">
        <v>708</v>
      </c>
      <c r="AR177" s="299" t="s">
        <v>709</v>
      </c>
      <c r="AS177" s="299" t="s">
        <v>714</v>
      </c>
      <c r="AT177" s="299" t="s">
        <v>715</v>
      </c>
      <c r="AV177" s="303" t="s">
        <v>3668</v>
      </c>
      <c r="AW177" s="303" t="s">
        <v>3669</v>
      </c>
      <c r="AX177" s="303" t="s">
        <v>3670</v>
      </c>
      <c r="AY177" t="s">
        <v>717</v>
      </c>
      <c r="AZ177" s="296" t="s">
        <v>708</v>
      </c>
      <c r="BA177" s="299" t="s">
        <v>709</v>
      </c>
      <c r="BB177" s="299" t="s">
        <v>714</v>
      </c>
      <c r="BC177" s="299" t="s">
        <v>715</v>
      </c>
    </row>
    <row r="178" spans="17:55" ht="12.75" hidden="1" customHeight="1">
      <c r="Q178">
        <v>1</v>
      </c>
      <c r="R178">
        <f t="shared" ref="R178:R209" si="1">$Q$178</f>
        <v>1</v>
      </c>
      <c r="S178" s="356" t="e">
        <f t="shared" ref="S178:S241" si="2">IF($B$38="P",Y178,IF($B$38="Z",IF(Z178&lt;&gt;"",Z178,""),IF($B$38="M",IF(AA178&lt;&gt;"",AA178,""),Y178)))</f>
        <v>#REF!</v>
      </c>
      <c r="T178" s="454" t="e">
        <f>IF($B$38="P",IF(#REF!&lt;&gt;"",#REF!,""),IF($B$38="Z",IF(#REF!&lt;&gt;"",#REF!,""),IF($B$38="M",IF(#REF!&lt;&gt;"",#REF!,""),"")))</f>
        <v>#REF!</v>
      </c>
      <c r="U178" s="454" t="e">
        <f>IF($B$38="P",IF(#REF!&lt;&gt;"",ABS(#REF!),""),IF($B$38="Z",IF(#REF!&lt;&gt;"",ABS(#REF!),""),IF($B$38="M",IF(#REF!&lt;&gt;"",ABS(#REF!),""),"")))</f>
        <v>#REF!</v>
      </c>
      <c r="V178" s="454" t="e">
        <f>IF($B$38="P",IF(#REF!&lt;&gt;"",#REF!,""),IF($B$38="Z",IF(#REF!&lt;&gt;"",#REF!,""),IF($B$38="M",IF(#REF!&lt;&gt;"",#REF!,""),"")))</f>
        <v>#REF!</v>
      </c>
      <c r="W178" s="454" t="e">
        <f>IF($B$38="P",IF(#REF!&lt;&gt;"",#REF!,""),IF($B$38="Z",IF(#REF!&lt;&gt;"",#REF!,""),IF($B$38="M",IF(#REF!&lt;&gt;"",#REF!,""),"")))</f>
        <v>#REF!</v>
      </c>
      <c r="Y178">
        <v>1</v>
      </c>
      <c r="Z178">
        <v>1</v>
      </c>
      <c r="AA178">
        <v>1</v>
      </c>
      <c r="AB178">
        <f t="shared" ref="AB178:AB209" si="3">$AB$176</f>
        <v>1</v>
      </c>
      <c r="AC178" s="356" t="e">
        <f>IF($B$38="P",AG178,IF(AH178&lt;&gt;"",AH178,""))</f>
        <v>#REF!</v>
      </c>
      <c r="AD178" s="454" t="e">
        <f>IF($B$38="P",IF(#REF!&lt;&gt;"",#REF!,""),IF(#REF!&lt;&gt;"",#REF!,""))</f>
        <v>#REF!</v>
      </c>
      <c r="AE178" s="454" t="e">
        <f>IF($B$38="P",IF(#REF!&lt;&gt;"",#REF!,""),IF(#REF!&lt;&gt;"",#REF!,""))</f>
        <v>#REF!</v>
      </c>
      <c r="AG178">
        <v>1</v>
      </c>
      <c r="AH178">
        <v>1</v>
      </c>
      <c r="AI178">
        <v>1</v>
      </c>
      <c r="AP178">
        <v>1</v>
      </c>
      <c r="AQ178">
        <f t="shared" ref="AQ178:AQ209" si="4">$AP$178</f>
        <v>1</v>
      </c>
      <c r="AR178" s="356" t="e">
        <f t="shared" ref="AR178:AR241" si="5">IF($B$38="P",AV178,IF($B$38="Z",IF(AW178&lt;&gt;"",AW178,""),IF($B$38="M",IF(AX178&lt;&gt;"",AX178,""),AV178)))</f>
        <v>#REF!</v>
      </c>
      <c r="AS178" s="454" t="e">
        <f>IF($B$38="P",IF(#REF!&lt;&gt;"",#REF!,""),IF($B$38="Z",IF(#REF!&lt;&gt;"",#REF!,""),IF($B$38="M",IF(#REF!&lt;&gt;"",#REF!,""),"")))</f>
        <v>#REF!</v>
      </c>
      <c r="AT178" s="454" t="e">
        <f>IF($B$38="P",IF(#REF!&lt;&gt;"",#REF!,""),IF($B$38="Z",IF(#REF!&lt;&gt;"",#REF!,""),IF($B$38="M",IF(#REF!&lt;&gt;"",#REF!,""),"")))</f>
        <v>#REF!</v>
      </c>
      <c r="AV178">
        <v>1</v>
      </c>
      <c r="AW178">
        <v>1</v>
      </c>
      <c r="AX178">
        <v>1</v>
      </c>
      <c r="AY178">
        <v>1</v>
      </c>
    </row>
    <row r="179" spans="17:55" ht="12.75" hidden="1" customHeight="1">
      <c r="R179">
        <f t="shared" si="1"/>
        <v>1</v>
      </c>
      <c r="S179" s="356" t="e">
        <f t="shared" si="2"/>
        <v>#REF!</v>
      </c>
      <c r="T179" s="454" t="e">
        <f>IF($B$38="P",IF(#REF!&lt;&gt;"",#REF!,""),IF($B$38="Z",IF(#REF!&lt;&gt;"",#REF!,""),IF($B$38="M",IF(#REF!&lt;&gt;"",#REF!,""),"")))</f>
        <v>#REF!</v>
      </c>
      <c r="U179" s="454" t="e">
        <f>IF($B$38="P",IF(#REF!&lt;&gt;"",ABS(#REF!),""),IF($B$38="Z",IF(#REF!&lt;&gt;"",ABS(#REF!),""),IF($B$38="M",IF(#REF!&lt;&gt;"",ABS(#REF!),""),"")))</f>
        <v>#REF!</v>
      </c>
      <c r="V179" s="454" t="e">
        <f>IF($B$38="P",IF(#REF!&lt;&gt;"",#REF!,""),IF($B$38="Z",IF(#REF!&lt;&gt;"",#REF!,""),IF($B$38="M",IF(#REF!&lt;&gt;"",#REF!,""),"")))</f>
        <v>#REF!</v>
      </c>
      <c r="W179" s="454" t="e">
        <f>IF($B$38="P",IF(#REF!&lt;&gt;"",#REF!,""),IF($B$38="Z",IF(#REF!&lt;&gt;"",#REF!,""),IF($B$38="M",IF(#REF!&lt;&gt;"",#REF!,""),"")))</f>
        <v>#REF!</v>
      </c>
      <c r="Y179">
        <v>2</v>
      </c>
      <c r="Z179">
        <v>2</v>
      </c>
      <c r="AA179">
        <v>2</v>
      </c>
      <c r="AB179">
        <f t="shared" si="3"/>
        <v>1</v>
      </c>
      <c r="AC179" s="356" t="e">
        <f t="shared" ref="AC179:AC233" si="6">IF($B$38="P",AG179,IF(AH179&lt;&gt;"",AH179,""))</f>
        <v>#REF!</v>
      </c>
      <c r="AD179" s="454" t="e">
        <f>IF($B$38="P",IF(#REF!&lt;&gt;"",#REF!,""),IF(#REF!&lt;&gt;"",#REF!,""))</f>
        <v>#REF!</v>
      </c>
      <c r="AE179" s="454" t="e">
        <f>IF($B$38="P",IF(#REF!&lt;&gt;"",#REF!,""),IF(#REF!&lt;&gt;"",#REF!,""))</f>
        <v>#REF!</v>
      </c>
      <c r="AG179">
        <v>2</v>
      </c>
      <c r="AH179">
        <v>2</v>
      </c>
      <c r="AQ179">
        <f t="shared" si="4"/>
        <v>1</v>
      </c>
      <c r="AR179" s="356" t="e">
        <f t="shared" si="5"/>
        <v>#REF!</v>
      </c>
      <c r="AS179" s="454" t="e">
        <f>IF($B$38="P",IF(#REF!&lt;&gt;"",#REF!,""),IF($B$38="Z",IF(#REF!&lt;&gt;"",#REF!,""),IF($B$38="M",IF(#REF!&lt;&gt;"",#REF!,""),"")))</f>
        <v>#REF!</v>
      </c>
      <c r="AT179" s="454" t="e">
        <f>IF($B$38="P",IF(#REF!&lt;&gt;"",#REF!,""),IF($B$38="Z",IF(#REF!&lt;&gt;"",#REF!,""),IF($B$38="M",IF(#REF!&lt;&gt;"",#REF!,""),"")))</f>
        <v>#REF!</v>
      </c>
      <c r="AV179">
        <v>2</v>
      </c>
      <c r="AW179">
        <v>2</v>
      </c>
      <c r="AX179">
        <v>2</v>
      </c>
    </row>
    <row r="180" spans="17:55" ht="12.75" hidden="1" customHeight="1">
      <c r="R180" s="303">
        <f t="shared" si="1"/>
        <v>1</v>
      </c>
      <c r="S180" s="356" t="e">
        <f t="shared" si="2"/>
        <v>#REF!</v>
      </c>
      <c r="T180" s="454" t="e">
        <f>IF($B$38="P",IF(#REF!&lt;&gt;"",#REF!,""),IF($B$38="Z",IF(#REF!&lt;&gt;"",#REF!,""),IF($B$38="M",IF(#REF!&lt;&gt;"",#REF!,""),"")))</f>
        <v>#REF!</v>
      </c>
      <c r="U180" s="454" t="e">
        <f>IF($B$38="P",IF(#REF!&lt;&gt;"",ABS(#REF!),""),IF($B$38="Z",IF(#REF!&lt;&gt;"",ABS(#REF!),""),IF($B$38="M",IF(#REF!&lt;&gt;"",ABS(#REF!),""),"")))</f>
        <v>#REF!</v>
      </c>
      <c r="V180" s="454" t="e">
        <f>IF($B$38="P",IF(#REF!&lt;&gt;"",#REF!,""),IF($B$38="Z",IF(#REF!&lt;&gt;"",#REF!,""),IF($B$38="M",IF(#REF!&lt;&gt;"",#REF!,""),"")))</f>
        <v>#REF!</v>
      </c>
      <c r="W180" s="454" t="e">
        <f>IF($B$38="P",IF(#REF!&lt;&gt;"",#REF!,""),IF($B$38="Z",IF(#REF!&lt;&gt;"",#REF!,""),IF($B$38="M",IF(#REF!&lt;&gt;"",#REF!,""),"")))</f>
        <v>#REF!</v>
      </c>
      <c r="Y180">
        <v>3</v>
      </c>
      <c r="Z180">
        <v>3</v>
      </c>
      <c r="AA180">
        <v>3</v>
      </c>
      <c r="AB180">
        <f t="shared" si="3"/>
        <v>1</v>
      </c>
      <c r="AC180" s="356" t="e">
        <f t="shared" si="6"/>
        <v>#REF!</v>
      </c>
      <c r="AD180" s="454" t="e">
        <f>IF($B$38="P",IF(#REF!&lt;&gt;"",#REF!,""),IF(#REF!&lt;&gt;"",#REF!,""))</f>
        <v>#REF!</v>
      </c>
      <c r="AE180" s="454" t="e">
        <f>IF($B$38="P",IF(#REF!&lt;&gt;"",#REF!,""),IF(#REF!&lt;&gt;"",#REF!,""))</f>
        <v>#REF!</v>
      </c>
      <c r="AG180">
        <v>3</v>
      </c>
      <c r="AH180">
        <v>3</v>
      </c>
      <c r="AQ180">
        <f t="shared" si="4"/>
        <v>1</v>
      </c>
      <c r="AR180" s="356" t="e">
        <f t="shared" si="5"/>
        <v>#REF!</v>
      </c>
      <c r="AS180" s="454" t="e">
        <f>IF($B$38="P",IF(#REF!&lt;&gt;"",#REF!,""),IF($B$38="Z",IF(#REF!&lt;&gt;"",#REF!,""),IF($B$38="M",IF(#REF!&lt;&gt;"",#REF!,""),"")))</f>
        <v>#REF!</v>
      </c>
      <c r="AT180" s="454" t="e">
        <f>IF($B$38="P",IF(#REF!&lt;&gt;"",#REF!,""),IF($B$38="Z",IF(#REF!&lt;&gt;"",#REF!,""),IF($B$38="M",IF(#REF!&lt;&gt;"",#REF!,""),"")))</f>
        <v>#REF!</v>
      </c>
      <c r="AV180">
        <v>3</v>
      </c>
      <c r="AW180">
        <v>3</v>
      </c>
      <c r="AX180">
        <v>24</v>
      </c>
    </row>
    <row r="181" spans="17:55" ht="12.75" hidden="1" customHeight="1">
      <c r="R181">
        <f t="shared" si="1"/>
        <v>1</v>
      </c>
      <c r="S181" s="356" t="e">
        <f t="shared" si="2"/>
        <v>#REF!</v>
      </c>
      <c r="T181" s="454" t="e">
        <f>IF($B$38="P",IF(#REF!&lt;&gt;"",#REF!,""),IF($B$38="Z",IF(#REF!&lt;&gt;"",#REF!,""),IF($B$38="M",IF(#REF!&lt;&gt;"",#REF!,""),"")))</f>
        <v>#REF!</v>
      </c>
      <c r="U181" s="454" t="e">
        <f>IF($B$38="P",IF(#REF!&lt;&gt;"",ABS(#REF!),""),IF($B$38="Z",IF(#REF!&lt;&gt;"",ABS(#REF!),""),IF($B$38="M",IF(#REF!&lt;&gt;"",ABS(#REF!),""),"")))</f>
        <v>#REF!</v>
      </c>
      <c r="V181" s="454" t="e">
        <f>IF($B$38="P",IF(#REF!&lt;&gt;"",#REF!,""),IF($B$38="Z",IF(#REF!&lt;&gt;"",#REF!,""),IF($B$38="M",IF(#REF!&lt;&gt;"",#REF!,""),"")))</f>
        <v>#REF!</v>
      </c>
      <c r="W181" s="454" t="e">
        <f>IF($B$38="P",IF(#REF!&lt;&gt;"",#REF!,""),IF($B$38="Z",IF(#REF!&lt;&gt;"",#REF!,""),IF($B$38="M",IF(#REF!&lt;&gt;"",#REF!,""),"")))</f>
        <v>#REF!</v>
      </c>
      <c r="Y181">
        <v>4</v>
      </c>
      <c r="Z181">
        <v>4</v>
      </c>
      <c r="AA181">
        <v>37</v>
      </c>
      <c r="AB181">
        <f t="shared" si="3"/>
        <v>1</v>
      </c>
      <c r="AC181" s="356" t="e">
        <f t="shared" si="6"/>
        <v>#REF!</v>
      </c>
      <c r="AD181" s="454" t="e">
        <f>IF($B$38="P",IF(#REF!&lt;&gt;"",#REF!,""),IF(#REF!&lt;&gt;"",#REF!,""))</f>
        <v>#REF!</v>
      </c>
      <c r="AE181" s="454" t="e">
        <f>IF($B$38="P",IF(#REF!&lt;&gt;"",#REF!,""),IF(#REF!&lt;&gt;"",#REF!,""))</f>
        <v>#REF!</v>
      </c>
      <c r="AG181">
        <v>4</v>
      </c>
      <c r="AH181">
        <v>7</v>
      </c>
      <c r="AQ181">
        <f t="shared" si="4"/>
        <v>1</v>
      </c>
      <c r="AR181" s="356" t="e">
        <f t="shared" si="5"/>
        <v>#REF!</v>
      </c>
      <c r="AS181" s="454" t="e">
        <f>IF($B$38="P",IF(#REF!&lt;&gt;"",#REF!,""),IF($B$38="Z",IF(#REF!&lt;&gt;"",#REF!,""),IF($B$38="M",IF(#REF!&lt;&gt;"",#REF!,""),"")))</f>
        <v>#REF!</v>
      </c>
      <c r="AT181" s="454" t="e">
        <f>IF($B$38="P",IF(#REF!&lt;&gt;"",#REF!,""),IF($B$38="Z",IF(#REF!&lt;&gt;"",#REF!,""),IF($B$38="M",IF(#REF!&lt;&gt;"",#REF!,""),"")))</f>
        <v>#REF!</v>
      </c>
      <c r="AV181">
        <v>4</v>
      </c>
      <c r="AW181">
        <v>7</v>
      </c>
      <c r="AX181">
        <v>25</v>
      </c>
    </row>
    <row r="182" spans="17:55" ht="12.75" hidden="1" customHeight="1">
      <c r="R182">
        <f t="shared" si="1"/>
        <v>1</v>
      </c>
      <c r="S182" s="356" t="e">
        <f t="shared" si="2"/>
        <v>#REF!</v>
      </c>
      <c r="T182" s="454" t="e">
        <f>IF($B$38="P",IF(#REF!&lt;&gt;"",#REF!,""),IF($B$38="Z",IF(#REF!&lt;&gt;"",#REF!,""),IF($B$38="M",IF(#REF!&lt;&gt;"",#REF!,""),"")))</f>
        <v>#REF!</v>
      </c>
      <c r="U182" s="454" t="e">
        <f>IF($B$38="P",IF(#REF!&lt;&gt;"",ABS(#REF!),""),IF($B$38="Z",IF(#REF!&lt;&gt;"",ABS(#REF!),""),IF($B$38="M",IF(#REF!&lt;&gt;"",ABS(#REF!),""),"")))</f>
        <v>#REF!</v>
      </c>
      <c r="V182" s="454" t="e">
        <f>IF($B$38="P",IF(#REF!&lt;&gt;"",#REF!,""),IF($B$38="Z",IF(#REF!&lt;&gt;"",#REF!,""),IF($B$38="M",IF(#REF!&lt;&gt;"",#REF!,""),"")))</f>
        <v>#REF!</v>
      </c>
      <c r="W182" s="454" t="e">
        <f>IF($B$38="P",IF(#REF!&lt;&gt;"",#REF!,""),IF($B$38="Z",IF(#REF!&lt;&gt;"",#REF!,""),IF($B$38="M",IF(#REF!&lt;&gt;"",#REF!,""),"")))</f>
        <v>#REF!</v>
      </c>
      <c r="Y182">
        <v>5</v>
      </c>
      <c r="Z182">
        <v>14</v>
      </c>
      <c r="AA182">
        <v>74</v>
      </c>
      <c r="AB182">
        <f t="shared" si="3"/>
        <v>1</v>
      </c>
      <c r="AC182" s="356" t="e">
        <f t="shared" si="6"/>
        <v>#REF!</v>
      </c>
      <c r="AD182" s="454" t="e">
        <f>IF($B$38="P",IF(#REF!&lt;&gt;"",#REF!,""),IF(#REF!&lt;&gt;"",#REF!,""))</f>
        <v>#REF!</v>
      </c>
      <c r="AE182" s="454" t="e">
        <f>IF($B$38="P",IF(#REF!&lt;&gt;"",#REF!,""),IF(#REF!&lt;&gt;"",#REF!,""))</f>
        <v>#REF!</v>
      </c>
      <c r="AG182">
        <v>5</v>
      </c>
      <c r="AH182">
        <v>8</v>
      </c>
      <c r="AQ182">
        <f t="shared" si="4"/>
        <v>1</v>
      </c>
      <c r="AR182" s="356" t="e">
        <f t="shared" si="5"/>
        <v>#REF!</v>
      </c>
      <c r="AS182" s="454" t="e">
        <f>IF($B$38="P",IF(#REF!&lt;&gt;"",#REF!,""),IF($B$38="Z",IF(#REF!&lt;&gt;"",#REF!,""),IF($B$38="M",IF(#REF!&lt;&gt;"",#REF!,""),"")))</f>
        <v>#REF!</v>
      </c>
      <c r="AT182" s="454" t="e">
        <f>IF($B$38="P",IF(#REF!&lt;&gt;"",#REF!,""),IF($B$38="Z",IF(#REF!&lt;&gt;"",#REF!,""),IF($B$38="M",IF(#REF!&lt;&gt;"",#REF!,""),"")))</f>
        <v>#REF!</v>
      </c>
      <c r="AV182">
        <v>5</v>
      </c>
      <c r="AW182">
        <v>15</v>
      </c>
      <c r="AX182">
        <v>30</v>
      </c>
    </row>
    <row r="183" spans="17:55" ht="12.75" hidden="1" customHeight="1">
      <c r="R183">
        <f t="shared" si="1"/>
        <v>1</v>
      </c>
      <c r="S183" s="356" t="e">
        <f t="shared" si="2"/>
        <v>#REF!</v>
      </c>
      <c r="T183" s="454" t="e">
        <f>IF($B$38="P",IF(#REF!&lt;&gt;"",#REF!,""),IF($B$38="Z",IF(#REF!&lt;&gt;"",#REF!,""),""))</f>
        <v>#REF!</v>
      </c>
      <c r="U183" s="454" t="e">
        <f>IF($B$38="P",IF(#REF!&lt;&gt;"",ABS(#REF!),""),IF($B$38="Z",IF(#REF!&lt;&gt;"",ABS(#REF!),""),""))</f>
        <v>#REF!</v>
      </c>
      <c r="V183" s="454" t="e">
        <f>IF($B$38="P",IF(#REF!&lt;&gt;"",#REF!,""),IF($B$38="Z",IF(#REF!&lt;&gt;"",#REF!,""),""))</f>
        <v>#REF!</v>
      </c>
      <c r="W183" s="454" t="e">
        <f>IF($B$38="P",IF(#REF!&lt;&gt;"",#REF!,""),IF($B$38="Z",IF(#REF!&lt;&gt;"",#REF!,""),""))</f>
        <v>#REF!</v>
      </c>
      <c r="Y183">
        <v>6</v>
      </c>
      <c r="Z183">
        <v>27</v>
      </c>
      <c r="AB183">
        <f t="shared" si="3"/>
        <v>1</v>
      </c>
      <c r="AC183" s="356" t="e">
        <f t="shared" si="6"/>
        <v>#REF!</v>
      </c>
      <c r="AD183" s="454" t="e">
        <f>IF($B$38="P",IF(#REF!&lt;&gt;"",#REF!,""),IF(#REF!&lt;&gt;"",#REF!,""))</f>
        <v>#REF!</v>
      </c>
      <c r="AE183" s="454" t="e">
        <f>IF($B$38="P",IF(#REF!&lt;&gt;"",#REF!,""),IF(#REF!&lt;&gt;"",#REF!,""))</f>
        <v>#REF!</v>
      </c>
      <c r="AG183">
        <v>6</v>
      </c>
      <c r="AH183">
        <v>9</v>
      </c>
      <c r="AQ183">
        <f t="shared" si="4"/>
        <v>1</v>
      </c>
      <c r="AR183" s="356" t="e">
        <f t="shared" si="5"/>
        <v>#REF!</v>
      </c>
      <c r="AS183" s="454" t="e">
        <f>IF($B$38="P",IF(#REF!&lt;&gt;"",#REF!,""),IF($B$38="Z",IF(#REF!&lt;&gt;"",#REF!,""),IF($B$38="M",IF(#REF!&lt;&gt;"",#REF!,""),"")))</f>
        <v>#REF!</v>
      </c>
      <c r="AT183" s="454" t="e">
        <f>IF($B$38="P",IF(#REF!&lt;&gt;"",#REF!,""),IF($B$38="Z",IF(#REF!&lt;&gt;"",#REF!,""),IF($B$38="M",IF(#REF!&lt;&gt;"",#REF!,""),"")))</f>
        <v>#REF!</v>
      </c>
      <c r="AV183">
        <v>6</v>
      </c>
      <c r="AW183">
        <v>18</v>
      </c>
      <c r="AX183">
        <v>64</v>
      </c>
    </row>
    <row r="184" spans="17:55" ht="12.75" hidden="1" customHeight="1">
      <c r="R184">
        <f t="shared" si="1"/>
        <v>1</v>
      </c>
      <c r="S184" s="356" t="e">
        <f t="shared" si="2"/>
        <v>#REF!</v>
      </c>
      <c r="T184" s="454" t="e">
        <f>IF($B$38="P",IF(#REF!&lt;&gt;"",#REF!,""),IF($B$38="Z",IF(#REF!&lt;&gt;"",#REF!,""),""))</f>
        <v>#REF!</v>
      </c>
      <c r="U184" s="454" t="e">
        <f>IF($B$38="P",IF(#REF!&lt;&gt;"",ABS(#REF!),""),IF($B$38="Z",IF(#REF!&lt;&gt;"",ABS(#REF!),""),""))</f>
        <v>#REF!</v>
      </c>
      <c r="V184" s="454" t="e">
        <f>IF($B$38="P",IF(#REF!&lt;&gt;"",#REF!,""),IF($B$38="Z",IF(#REF!&lt;&gt;"",#REF!,""),""))</f>
        <v>#REF!</v>
      </c>
      <c r="W184" s="454" t="e">
        <f>IF($B$38="P",IF(#REF!&lt;&gt;"",#REF!,""),IF($B$38="Z",IF(#REF!&lt;&gt;"",#REF!,""),""))</f>
        <v>#REF!</v>
      </c>
      <c r="Y184">
        <v>7</v>
      </c>
      <c r="Z184">
        <v>37</v>
      </c>
      <c r="AB184">
        <f t="shared" si="3"/>
        <v>1</v>
      </c>
      <c r="AC184" s="356" t="e">
        <f t="shared" si="6"/>
        <v>#REF!</v>
      </c>
      <c r="AD184" s="454" t="e">
        <f>IF($B$38="P",IF(#REF!&lt;&gt;"",#REF!,""),IF(#REF!&lt;&gt;"",#REF!,""))</f>
        <v>#REF!</v>
      </c>
      <c r="AE184" s="454" t="e">
        <f>IF($B$38="P",IF(#REF!&lt;&gt;"",#REF!,""),IF(#REF!&lt;&gt;"",#REF!,""))</f>
        <v>#REF!</v>
      </c>
      <c r="AG184">
        <v>7</v>
      </c>
      <c r="AH184">
        <v>14</v>
      </c>
      <c r="AQ184">
        <f t="shared" si="4"/>
        <v>1</v>
      </c>
      <c r="AR184" s="356" t="e">
        <f t="shared" si="5"/>
        <v>#REF!</v>
      </c>
      <c r="AS184" s="454" t="e">
        <f>IF($B$38="P",IF(#REF!&lt;&gt;"",#REF!,""),IF($B$38="Z",IF(#REF!&lt;&gt;"",#REF!,""),""))</f>
        <v>#REF!</v>
      </c>
      <c r="AT184" s="454" t="e">
        <f>IF($B$38="P",IF(#REF!&lt;&gt;"",#REF!,""),IF($B$38="Z",IF(#REF!&lt;&gt;"",#REF!,""),""))</f>
        <v>#REF!</v>
      </c>
      <c r="AV184">
        <v>7</v>
      </c>
      <c r="AW184">
        <v>22</v>
      </c>
    </row>
    <row r="185" spans="17:55" ht="12.75" hidden="1" customHeight="1">
      <c r="R185">
        <f t="shared" si="1"/>
        <v>1</v>
      </c>
      <c r="S185" s="356" t="e">
        <f t="shared" si="2"/>
        <v>#REF!</v>
      </c>
      <c r="T185" s="454" t="e">
        <f>IF($B$38="P",IF(#REF!&lt;&gt;"",#REF!,""),IF($B$38="Z",IF(#REF!&lt;&gt;"",#REF!,""),""))</f>
        <v>#REF!</v>
      </c>
      <c r="U185" s="454" t="e">
        <f>IF($B$38="P",IF(#REF!&lt;&gt;"",ABS(#REF!),""),IF($B$38="Z",IF(#REF!&lt;&gt;"",ABS(#REF!),""),""))</f>
        <v>#REF!</v>
      </c>
      <c r="V185" s="454" t="e">
        <f>IF($B$38="P",IF(#REF!&lt;&gt;"",#REF!,""),IF($B$38="Z",IF(#REF!&lt;&gt;"",#REF!,""),""))</f>
        <v>#REF!</v>
      </c>
      <c r="W185" s="454" t="e">
        <f>IF($B$38="P",IF(#REF!&lt;&gt;"",#REF!,""),IF($B$38="Z",IF(#REF!&lt;&gt;"",#REF!,""),""))</f>
        <v>#REF!</v>
      </c>
      <c r="Y185">
        <v>8</v>
      </c>
      <c r="Z185">
        <v>38</v>
      </c>
      <c r="AB185">
        <f t="shared" si="3"/>
        <v>1</v>
      </c>
      <c r="AC185" s="356" t="e">
        <f t="shared" si="6"/>
        <v>#REF!</v>
      </c>
      <c r="AD185" s="454" t="e">
        <f>IF($B$38="P",IF(#REF!&lt;&gt;"",#REF!,""),IF(#REF!&lt;&gt;"",#REF!,""))</f>
        <v>#REF!</v>
      </c>
      <c r="AE185" s="454" t="e">
        <f>IF($B$38="P",IF(#REF!&lt;&gt;"",#REF!,""),IF(#REF!&lt;&gt;"",#REF!,""))</f>
        <v>#REF!</v>
      </c>
      <c r="AG185">
        <v>8</v>
      </c>
      <c r="AH185">
        <v>20</v>
      </c>
      <c r="AQ185">
        <f t="shared" si="4"/>
        <v>1</v>
      </c>
      <c r="AR185" s="356" t="e">
        <f t="shared" si="5"/>
        <v>#REF!</v>
      </c>
      <c r="AS185" s="454" t="e">
        <f>IF($B$38="P",IF(#REF!&lt;&gt;"",#REF!,""),IF($B$38="Z",IF(#REF!&lt;&gt;"",#REF!,""),""))</f>
        <v>#REF!</v>
      </c>
      <c r="AT185" s="454" t="e">
        <f>IF($B$38="P",IF(#REF!&lt;&gt;"",#REF!,""),IF($B$38="Z",IF(#REF!&lt;&gt;"",#REF!,""),""))</f>
        <v>#REF!</v>
      </c>
      <c r="AV185">
        <v>8</v>
      </c>
      <c r="AW185">
        <v>23</v>
      </c>
    </row>
    <row r="186" spans="17:55" ht="12.75" hidden="1" customHeight="1">
      <c r="R186">
        <f t="shared" si="1"/>
        <v>1</v>
      </c>
      <c r="S186" s="356" t="e">
        <f t="shared" si="2"/>
        <v>#REF!</v>
      </c>
      <c r="T186" s="454" t="e">
        <f>IF($B$38="P",IF(#REF!&lt;&gt;"",#REF!,""),IF($B$38="Z",IF(#REF!&lt;&gt;"",#REF!,""),""))</f>
        <v>#REF!</v>
      </c>
      <c r="U186" s="454" t="e">
        <f>IF($B$38="P",IF(#REF!&lt;&gt;"",ABS(#REF!),""),IF($B$38="Z",IF(#REF!&lt;&gt;"",ABS(#REF!),""),""))</f>
        <v>#REF!</v>
      </c>
      <c r="V186" s="454" t="e">
        <f>IF($B$38="P",IF(#REF!&lt;&gt;"",#REF!,""),IF($B$38="Z",IF(#REF!&lt;&gt;"",#REF!,""),""))</f>
        <v>#REF!</v>
      </c>
      <c r="W186" s="454" t="e">
        <f>IF($B$38="P",IF(#REF!&lt;&gt;"",#REF!,""),IF($B$38="Z",IF(#REF!&lt;&gt;"",#REF!,""),""))</f>
        <v>#REF!</v>
      </c>
      <c r="Y186">
        <v>9</v>
      </c>
      <c r="Z186">
        <v>46</v>
      </c>
      <c r="AB186">
        <f t="shared" si="3"/>
        <v>1</v>
      </c>
      <c r="AC186" s="356" t="e">
        <f t="shared" si="6"/>
        <v>#REF!</v>
      </c>
      <c r="AD186" s="454" t="e">
        <f>IF($B$38="P",IF(#REF!&lt;&gt;"",#REF!,""),IF(#REF!&lt;&gt;"",#REF!,""))</f>
        <v>#REF!</v>
      </c>
      <c r="AE186" s="454" t="e">
        <f>IF($B$38="P",IF(#REF!&lt;&gt;"",#REF!,""),IF(#REF!&lt;&gt;"",#REF!,""))</f>
        <v>#REF!</v>
      </c>
      <c r="AG186">
        <v>9</v>
      </c>
      <c r="AH186">
        <v>24</v>
      </c>
      <c r="AQ186">
        <f t="shared" si="4"/>
        <v>1</v>
      </c>
      <c r="AR186" s="356" t="e">
        <f t="shared" si="5"/>
        <v>#REF!</v>
      </c>
      <c r="AS186" s="454" t="e">
        <f>IF($B$38="P",IF(#REF!&lt;&gt;"",#REF!,""),IF($B$38="Z",IF(#REF!&lt;&gt;"",#REF!,""),""))</f>
        <v>#REF!</v>
      </c>
      <c r="AT186" s="454" t="e">
        <f>IF($B$38="P",IF(#REF!&lt;&gt;"",#REF!,""),IF($B$38="Z",IF(#REF!&lt;&gt;"",#REF!,""),""))</f>
        <v>#REF!</v>
      </c>
      <c r="AV186">
        <v>9</v>
      </c>
      <c r="AW186">
        <v>24</v>
      </c>
    </row>
    <row r="187" spans="17:55" ht="12.75" hidden="1" customHeight="1">
      <c r="R187">
        <f t="shared" si="1"/>
        <v>1</v>
      </c>
      <c r="S187" s="356" t="e">
        <f t="shared" si="2"/>
        <v>#REF!</v>
      </c>
      <c r="T187" s="454" t="e">
        <f>IF($B$38="P",IF(#REF!&lt;&gt;"",#REF!,""),IF($B$38="Z",IF(#REF!&lt;&gt;"",#REF!,""),""))</f>
        <v>#REF!</v>
      </c>
      <c r="U187" s="454" t="e">
        <f>IF($B$38="P",IF(#REF!&lt;&gt;"",ABS(#REF!),""),IF($B$38="Z",IF(#REF!&lt;&gt;"",ABS(#REF!),""),""))</f>
        <v>#REF!</v>
      </c>
      <c r="V187" s="454" t="e">
        <f>IF($B$38="P",IF(#REF!&lt;&gt;"",#REF!,""),IF($B$38="Z",IF(#REF!&lt;&gt;"",#REF!,""),""))</f>
        <v>#REF!</v>
      </c>
      <c r="W187" s="454" t="e">
        <f>IF($B$38="P",IF(#REF!&lt;&gt;"",#REF!,""),IF($B$38="Z",IF(#REF!&lt;&gt;"",#REF!,""),""))</f>
        <v>#REF!</v>
      </c>
      <c r="Y187">
        <v>10</v>
      </c>
      <c r="Z187">
        <v>47</v>
      </c>
      <c r="AB187">
        <f t="shared" si="3"/>
        <v>1</v>
      </c>
      <c r="AC187" s="356" t="e">
        <f t="shared" si="6"/>
        <v>#REF!</v>
      </c>
      <c r="AD187" s="454" t="e">
        <f>IF($B$38="P",IF(#REF!&lt;&gt;"",#REF!,""),IF(#REF!&lt;&gt;"",#REF!,""))</f>
        <v>#REF!</v>
      </c>
      <c r="AE187" s="454" t="e">
        <f>IF($B$38="P",IF(#REF!&lt;&gt;"",#REF!,""),IF(#REF!&lt;&gt;"",#REF!,""))</f>
        <v>#REF!</v>
      </c>
      <c r="AG187">
        <v>10</v>
      </c>
      <c r="AH187">
        <v>30</v>
      </c>
      <c r="AQ187">
        <f t="shared" si="4"/>
        <v>1</v>
      </c>
      <c r="AR187" s="356" t="e">
        <f t="shared" si="5"/>
        <v>#REF!</v>
      </c>
      <c r="AS187" s="454" t="e">
        <f>IF($B$38="P",IF(#REF!&lt;&gt;"",#REF!,""),IF($B$38="Z",IF(#REF!&lt;&gt;"",#REF!,""),""))</f>
        <v>#REF!</v>
      </c>
      <c r="AT187" s="454" t="e">
        <f>IF($B$38="P",IF(#REF!&lt;&gt;"",#REF!,""),IF($B$38="Z",IF(#REF!&lt;&gt;"",#REF!,""),""))</f>
        <v>#REF!</v>
      </c>
      <c r="AV187">
        <v>10</v>
      </c>
      <c r="AW187">
        <v>25</v>
      </c>
    </row>
    <row r="188" spans="17:55" ht="12.75" hidden="1" customHeight="1">
      <c r="R188">
        <f t="shared" si="1"/>
        <v>1</v>
      </c>
      <c r="S188" s="356" t="e">
        <f t="shared" si="2"/>
        <v>#REF!</v>
      </c>
      <c r="T188" s="454" t="e">
        <f>IF($B$38="P",IF(#REF!&lt;&gt;"",#REF!,""),IF($B$38="Z",IF(#REF!&lt;&gt;"",#REF!,""),""))</f>
        <v>#REF!</v>
      </c>
      <c r="U188" s="454" t="e">
        <f>IF($B$38="P",IF(#REF!&lt;&gt;"",ABS(#REF!),""),IF($B$38="Z",IF(#REF!&lt;&gt;"",ABS(#REF!),""),""))</f>
        <v>#REF!</v>
      </c>
      <c r="V188" s="454" t="e">
        <f>IF($B$38="P",IF(#REF!&lt;&gt;"",#REF!,""),IF($B$38="Z",IF(#REF!&lt;&gt;"",#REF!,""),""))</f>
        <v>#REF!</v>
      </c>
      <c r="W188" s="454" t="e">
        <f>IF($B$38="P",IF(#REF!&lt;&gt;"",#REF!,""),IF($B$38="Z",IF(#REF!&lt;&gt;"",#REF!,""),""))</f>
        <v>#REF!</v>
      </c>
      <c r="Y188">
        <v>11</v>
      </c>
      <c r="Z188">
        <v>57</v>
      </c>
      <c r="AB188">
        <f t="shared" si="3"/>
        <v>1</v>
      </c>
      <c r="AC188" s="356" t="e">
        <f t="shared" si="6"/>
        <v>#REF!</v>
      </c>
      <c r="AD188" s="454" t="e">
        <f>IF($B$38="P",IF(#REF!&lt;&gt;"",#REF!,""),IF(#REF!&lt;&gt;"",#REF!,""))</f>
        <v>#REF!</v>
      </c>
      <c r="AE188" s="454" t="e">
        <f>IF($B$38="P",IF(#REF!&lt;&gt;"",#REF!,""),IF(#REF!&lt;&gt;"",#REF!,""))</f>
        <v>#REF!</v>
      </c>
      <c r="AG188">
        <v>11</v>
      </c>
      <c r="AH188">
        <v>31</v>
      </c>
      <c r="AQ188">
        <f t="shared" si="4"/>
        <v>1</v>
      </c>
      <c r="AR188" s="356" t="e">
        <f t="shared" si="5"/>
        <v>#REF!</v>
      </c>
      <c r="AS188" s="454" t="e">
        <f>IF($B$38="P",IF(#REF!&lt;&gt;"",#REF!,""),IF($B$38="Z",IF(#REF!&lt;&gt;"",#REF!,""),""))</f>
        <v>#REF!</v>
      </c>
      <c r="AT188" s="454" t="e">
        <f>IF($B$38="P",IF(#REF!&lt;&gt;"",#REF!,""),IF($B$38="Z",IF(#REF!&lt;&gt;"",#REF!,""),""))</f>
        <v>#REF!</v>
      </c>
      <c r="AV188">
        <v>11</v>
      </c>
      <c r="AW188">
        <v>30</v>
      </c>
    </row>
    <row r="189" spans="17:55" ht="12.75" hidden="1" customHeight="1">
      <c r="R189">
        <f t="shared" si="1"/>
        <v>1</v>
      </c>
      <c r="S189" s="356" t="e">
        <f t="shared" si="2"/>
        <v>#REF!</v>
      </c>
      <c r="T189" s="454" t="e">
        <f>IF($B$38="P",IF(#REF!&lt;&gt;"",#REF!,""),IF($B$38="Z",IF(#REF!&lt;&gt;"",#REF!,""),""))</f>
        <v>#REF!</v>
      </c>
      <c r="U189" s="454" t="e">
        <f>IF($B$38="P",IF(#REF!&lt;&gt;"",ABS(#REF!),""),IF($B$38="Z",IF(#REF!&lt;&gt;"",ABS(#REF!),""),""))</f>
        <v>#REF!</v>
      </c>
      <c r="V189" s="454" t="e">
        <f>IF($B$38="P",IF(#REF!&lt;&gt;"",#REF!,""),IF($B$38="Z",IF(#REF!&lt;&gt;"",#REF!,""),""))</f>
        <v>#REF!</v>
      </c>
      <c r="W189" s="454" t="e">
        <f>IF($B$38="P",IF(#REF!&lt;&gt;"",#REF!,""),IF($B$38="Z",IF(#REF!&lt;&gt;"",#REF!,""),""))</f>
        <v>#REF!</v>
      </c>
      <c r="Y189">
        <v>12</v>
      </c>
      <c r="Z189">
        <v>68</v>
      </c>
      <c r="AB189">
        <f t="shared" si="3"/>
        <v>1</v>
      </c>
      <c r="AC189" s="356" t="e">
        <f t="shared" si="6"/>
        <v>#REF!</v>
      </c>
      <c r="AD189" s="454" t="e">
        <f>IF($B$38="P",IF(#REF!&lt;&gt;"",#REF!,""),IF(#REF!&lt;&gt;"",#REF!,""))</f>
        <v>#REF!</v>
      </c>
      <c r="AE189" s="454" t="e">
        <f>IF($B$38="P",IF(#REF!&lt;&gt;"",#REF!,""),IF(#REF!&lt;&gt;"",#REF!,""))</f>
        <v>#REF!</v>
      </c>
      <c r="AG189">
        <v>12</v>
      </c>
      <c r="AH189">
        <v>34</v>
      </c>
      <c r="AQ189">
        <f t="shared" si="4"/>
        <v>1</v>
      </c>
      <c r="AR189" s="356" t="e">
        <f t="shared" si="5"/>
        <v>#REF!</v>
      </c>
      <c r="AS189" s="454" t="e">
        <f>IF($B$38="P",IF(#REF!&lt;&gt;"",#REF!,""),IF($B$38="Z",IF(#REF!&lt;&gt;"",#REF!,""),""))</f>
        <v>#REF!</v>
      </c>
      <c r="AT189" s="454" t="e">
        <f>IF($B$38="P",IF(#REF!&lt;&gt;"",#REF!,""),IF($B$38="Z",IF(#REF!&lt;&gt;"",#REF!,""),""))</f>
        <v>#REF!</v>
      </c>
      <c r="AV189">
        <v>12</v>
      </c>
      <c r="AW189">
        <v>31</v>
      </c>
    </row>
    <row r="190" spans="17:55" ht="12.75" hidden="1" customHeight="1">
      <c r="R190">
        <f t="shared" si="1"/>
        <v>1</v>
      </c>
      <c r="S190" s="356" t="e">
        <f t="shared" si="2"/>
        <v>#REF!</v>
      </c>
      <c r="T190" s="454" t="e">
        <f>IF($B$38="P",IF(#REF!&lt;&gt;"",#REF!,""),IF($B$38="Z",IF(#REF!&lt;&gt;"",#REF!,""),""))</f>
        <v>#REF!</v>
      </c>
      <c r="U190" s="454" t="e">
        <f>IF($B$38="P",IF(#REF!&lt;&gt;"",ABS(#REF!),""),IF($B$38="Z",IF(#REF!&lt;&gt;"",ABS(#REF!),""),""))</f>
        <v>#REF!</v>
      </c>
      <c r="V190" s="454" t="e">
        <f>IF($B$38="P",IF(#REF!&lt;&gt;"",#REF!,""),IF($B$38="Z",IF(#REF!&lt;&gt;"",#REF!,""),""))</f>
        <v>#REF!</v>
      </c>
      <c r="W190" s="454" t="e">
        <f>IF($B$38="P",IF(#REF!&lt;&gt;"",#REF!,""),IF($B$38="Z",IF(#REF!&lt;&gt;"",#REF!,""),""))</f>
        <v>#REF!</v>
      </c>
      <c r="Y190">
        <v>13</v>
      </c>
      <c r="Z190">
        <v>71</v>
      </c>
      <c r="AB190">
        <f t="shared" si="3"/>
        <v>1</v>
      </c>
      <c r="AC190" s="356" t="e">
        <f t="shared" si="6"/>
        <v>#REF!</v>
      </c>
      <c r="AD190" s="454" t="e">
        <f>IF($B$38="P",IF(#REF!&lt;&gt;"",#REF!,""),IF(#REF!&lt;&gt;"",#REF!,""))</f>
        <v>#REF!</v>
      </c>
      <c r="AE190" s="454" t="e">
        <f>IF($B$38="P",IF(#REF!&lt;&gt;"",#REF!,""),IF(#REF!&lt;&gt;"",#REF!,""))</f>
        <v>#REF!</v>
      </c>
      <c r="AG190">
        <v>13</v>
      </c>
      <c r="AH190">
        <v>35</v>
      </c>
      <c r="AQ190">
        <f t="shared" si="4"/>
        <v>1</v>
      </c>
      <c r="AR190" s="356" t="e">
        <f t="shared" si="5"/>
        <v>#REF!</v>
      </c>
      <c r="AS190" s="454" t="e">
        <f>IF($B$38="P",IF(#REF!&lt;&gt;"",#REF!,""),IF($B$38="Z",IF(#REF!&lt;&gt;"",#REF!,""),""))</f>
        <v>#REF!</v>
      </c>
      <c r="AT190" s="454" t="e">
        <f>IF($B$38="P",IF(#REF!&lt;&gt;"",#REF!,""),IF($B$38="Z",IF(#REF!&lt;&gt;"",#REF!,""),""))</f>
        <v>#REF!</v>
      </c>
      <c r="AV190">
        <v>13</v>
      </c>
      <c r="AW190">
        <v>46</v>
      </c>
    </row>
    <row r="191" spans="17:55" ht="12.75" hidden="1" customHeight="1">
      <c r="R191">
        <f t="shared" si="1"/>
        <v>1</v>
      </c>
      <c r="S191" s="356" t="e">
        <f t="shared" si="2"/>
        <v>#REF!</v>
      </c>
      <c r="T191" s="454" t="e">
        <f>IF($B$38="P",IF(#REF!&lt;&gt;"",#REF!,""),IF($B$38="Z",IF(#REF!&lt;&gt;"",#REF!,""),""))</f>
        <v>#REF!</v>
      </c>
      <c r="U191" s="454" t="e">
        <f>IF($B$38="P",IF(#REF!&lt;&gt;"",ABS(#REF!),""),IF($B$38="Z",IF(#REF!&lt;&gt;"",ABS(#REF!),""),""))</f>
        <v>#REF!</v>
      </c>
      <c r="V191" s="454" t="e">
        <f>IF($B$38="P",IF(#REF!&lt;&gt;"",#REF!,""),IF($B$38="Z",IF(#REF!&lt;&gt;"",#REF!,""),""))</f>
        <v>#REF!</v>
      </c>
      <c r="W191" s="454" t="e">
        <f>IF($B$38="P",IF(#REF!&lt;&gt;"",#REF!,""),IF($B$38="Z",IF(#REF!&lt;&gt;"",#REF!,""),""))</f>
        <v>#REF!</v>
      </c>
      <c r="Y191">
        <v>14</v>
      </c>
      <c r="Z191">
        <v>74</v>
      </c>
      <c r="AB191">
        <f t="shared" si="3"/>
        <v>1</v>
      </c>
      <c r="AC191" s="356" t="e">
        <f t="shared" si="6"/>
        <v>#REF!</v>
      </c>
      <c r="AD191" s="454" t="e">
        <f>IF($B$38="P",IF(#REF!&lt;&gt;"",#REF!,""),IF(#REF!&lt;&gt;"",#REF!,""))</f>
        <v>#REF!</v>
      </c>
      <c r="AE191" s="454" t="e">
        <f>IF($B$38="P",IF(#REF!&lt;&gt;"",#REF!,""),IF(#REF!&lt;&gt;"",#REF!,""))</f>
        <v>#REF!</v>
      </c>
      <c r="AG191">
        <v>14</v>
      </c>
      <c r="AH191">
        <v>38</v>
      </c>
      <c r="AQ191">
        <f t="shared" si="4"/>
        <v>1</v>
      </c>
      <c r="AR191" s="356" t="e">
        <f t="shared" si="5"/>
        <v>#REF!</v>
      </c>
      <c r="AS191" s="454" t="e">
        <f>IF($B$38="P",IF(#REF!&lt;&gt;"",#REF!,""),IF($B$38="Z",IF(#REF!&lt;&gt;"",#REF!,""),""))</f>
        <v>#REF!</v>
      </c>
      <c r="AT191" s="454" t="e">
        <f>IF($B$38="P",IF(#REF!&lt;&gt;"",#REF!,""),IF($B$38="Z",IF(#REF!&lt;&gt;"",#REF!,""),""))</f>
        <v>#REF!</v>
      </c>
      <c r="AV191">
        <v>14</v>
      </c>
      <c r="AW191">
        <v>64</v>
      </c>
    </row>
    <row r="192" spans="17:55" ht="12.75" hidden="1" customHeight="1">
      <c r="R192">
        <f t="shared" si="1"/>
        <v>1</v>
      </c>
      <c r="S192" s="356" t="e">
        <f t="shared" si="2"/>
        <v>#REF!</v>
      </c>
      <c r="T192" s="454" t="e">
        <f>IF($B$38="P",IF(#REF!&lt;&gt;"",#REF!,""),"")</f>
        <v>#REF!</v>
      </c>
      <c r="U192" s="454" t="e">
        <f>IF($B$38="P",IF(#REF!&lt;&gt;"",ABS(#REF!),""),"")</f>
        <v>#REF!</v>
      </c>
      <c r="V192" s="454" t="e">
        <f>IF($B$38="P",IF(#REF!&lt;&gt;"",#REF!,""),"")</f>
        <v>#REF!</v>
      </c>
      <c r="W192" s="454" t="e">
        <f>IF($B$38="P",IF(#REF!&lt;&gt;"",#REF!,""),"")</f>
        <v>#REF!</v>
      </c>
      <c r="Y192">
        <v>15</v>
      </c>
      <c r="AB192">
        <f t="shared" si="3"/>
        <v>1</v>
      </c>
      <c r="AC192" s="356" t="e">
        <f t="shared" si="6"/>
        <v>#REF!</v>
      </c>
      <c r="AD192" s="454" t="e">
        <f>IF($B$38="P",IF(#REF!&lt;&gt;"",#REF!,""),IF(#REF!&lt;&gt;"",#REF!,""))</f>
        <v>#REF!</v>
      </c>
      <c r="AE192" s="454" t="e">
        <f>IF($B$38="P",IF(#REF!&lt;&gt;"",#REF!,""),IF(#REF!&lt;&gt;"",#REF!,""))</f>
        <v>#REF!</v>
      </c>
      <c r="AG192">
        <v>15</v>
      </c>
      <c r="AH192">
        <v>39</v>
      </c>
      <c r="AQ192">
        <f t="shared" si="4"/>
        <v>1</v>
      </c>
      <c r="AR192" s="356" t="e">
        <f t="shared" si="5"/>
        <v>#REF!</v>
      </c>
      <c r="AS192" s="454" t="e">
        <f>IF($B$38="P",IF(#REF!&lt;&gt;"",#REF!,""),"")</f>
        <v>#REF!</v>
      </c>
      <c r="AT192" s="454" t="e">
        <f>IF($B$38="P",IF(#REF!&lt;&gt;"",#REF!,""),"")</f>
        <v>#REF!</v>
      </c>
      <c r="AV192">
        <v>15</v>
      </c>
      <c r="AW192" s="359"/>
    </row>
    <row r="193" spans="18:49" ht="12.75" hidden="1" customHeight="1">
      <c r="R193">
        <f t="shared" si="1"/>
        <v>1</v>
      </c>
      <c r="S193" s="356" t="e">
        <f t="shared" si="2"/>
        <v>#REF!</v>
      </c>
      <c r="T193" s="454" t="e">
        <f>IF($B$38="P",IF(#REF!&lt;&gt;"",#REF!,""),"")</f>
        <v>#REF!</v>
      </c>
      <c r="U193" s="454" t="e">
        <f>IF($B$38="P",IF(#REF!&lt;&gt;"",ABS(#REF!),""),"")</f>
        <v>#REF!</v>
      </c>
      <c r="V193" s="454" t="e">
        <f>IF($B$38="P",IF(#REF!&lt;&gt;"",#REF!,""),"")</f>
        <v>#REF!</v>
      </c>
      <c r="W193" s="454" t="e">
        <f>IF($B$38="P",IF(#REF!&lt;&gt;"",#REF!,""),"")</f>
        <v>#REF!</v>
      </c>
      <c r="Y193">
        <v>16</v>
      </c>
      <c r="AB193">
        <f t="shared" si="3"/>
        <v>1</v>
      </c>
      <c r="AC193" s="356" t="e">
        <f t="shared" si="6"/>
        <v>#REF!</v>
      </c>
      <c r="AD193" s="454" t="e">
        <f>IF($B$38="P",IF(#REF!&lt;&gt;"",#REF!,""),IF(#REF!&lt;&gt;"",#REF!,""))</f>
        <v>#REF!</v>
      </c>
      <c r="AE193" s="454" t="e">
        <f>IF($B$38="P",IF(#REF!&lt;&gt;"",#REF!,""),IF(#REF!&lt;&gt;"",#REF!,""))</f>
        <v>#REF!</v>
      </c>
      <c r="AG193">
        <v>16</v>
      </c>
      <c r="AH193">
        <v>42</v>
      </c>
      <c r="AQ193">
        <f t="shared" si="4"/>
        <v>1</v>
      </c>
      <c r="AR193" s="356" t="e">
        <f t="shared" si="5"/>
        <v>#REF!</v>
      </c>
      <c r="AS193" s="454" t="e">
        <f>IF($B$38="P",IF(#REF!&lt;&gt;"",#REF!,""),"")</f>
        <v>#REF!</v>
      </c>
      <c r="AT193" s="454" t="e">
        <f>IF($B$38="P",IF(#REF!&lt;&gt;"",#REF!,""),"")</f>
        <v>#REF!</v>
      </c>
      <c r="AV193">
        <v>16</v>
      </c>
      <c r="AW193" s="359"/>
    </row>
    <row r="194" spans="18:49" ht="12.75" hidden="1" customHeight="1">
      <c r="R194">
        <f t="shared" si="1"/>
        <v>1</v>
      </c>
      <c r="S194" s="356" t="e">
        <f t="shared" si="2"/>
        <v>#REF!</v>
      </c>
      <c r="T194" s="454" t="e">
        <f>IF($B$38="P",IF(#REF!&lt;&gt;"",#REF!,""),"")</f>
        <v>#REF!</v>
      </c>
      <c r="U194" s="454" t="e">
        <f>IF($B$38="P",IF(#REF!&lt;&gt;"",ABS(#REF!),""),"")</f>
        <v>#REF!</v>
      </c>
      <c r="V194" s="454" t="e">
        <f>IF($B$38="P",IF(#REF!&lt;&gt;"",#REF!,""),"")</f>
        <v>#REF!</v>
      </c>
      <c r="W194" s="454" t="e">
        <f>IF($B$38="P",IF(#REF!&lt;&gt;"",#REF!,""),"")</f>
        <v>#REF!</v>
      </c>
      <c r="Y194">
        <v>17</v>
      </c>
      <c r="AB194">
        <f t="shared" si="3"/>
        <v>1</v>
      </c>
      <c r="AC194" s="356" t="e">
        <f t="shared" si="6"/>
        <v>#REF!</v>
      </c>
      <c r="AD194" s="454" t="e">
        <f>IF($B$38="P",IF(#REF!&lt;&gt;"",#REF!,""),IF(#REF!&lt;&gt;"",#REF!,""))</f>
        <v>#REF!</v>
      </c>
      <c r="AE194" s="454" t="e">
        <f>IF($B$38="P",IF(#REF!&lt;&gt;"",#REF!,""),IF(#REF!&lt;&gt;"",#REF!,""))</f>
        <v>#REF!</v>
      </c>
      <c r="AG194">
        <v>17</v>
      </c>
      <c r="AH194">
        <v>43</v>
      </c>
      <c r="AQ194">
        <f t="shared" si="4"/>
        <v>1</v>
      </c>
      <c r="AR194" s="356" t="e">
        <f t="shared" si="5"/>
        <v>#REF!</v>
      </c>
      <c r="AS194" s="454" t="e">
        <f>IF($B$38="P",IF(#REF!&lt;&gt;"",#REF!,""),"")</f>
        <v>#REF!</v>
      </c>
      <c r="AT194" s="454" t="e">
        <f>IF($B$38="P",IF(#REF!&lt;&gt;"",#REF!,""),"")</f>
        <v>#REF!</v>
      </c>
      <c r="AV194">
        <v>17</v>
      </c>
      <c r="AW194" s="359"/>
    </row>
    <row r="195" spans="18:49" ht="12.75" hidden="1" customHeight="1">
      <c r="R195">
        <f t="shared" si="1"/>
        <v>1</v>
      </c>
      <c r="S195" s="356" t="e">
        <f t="shared" si="2"/>
        <v>#REF!</v>
      </c>
      <c r="T195" s="454" t="e">
        <f>IF($B$38="P",IF(#REF!&lt;&gt;"",#REF!,""),"")</f>
        <v>#REF!</v>
      </c>
      <c r="U195" s="454" t="e">
        <f>IF($B$38="P",IF(#REF!&lt;&gt;"",ABS(#REF!),""),"")</f>
        <v>#REF!</v>
      </c>
      <c r="V195" s="454" t="e">
        <f>IF($B$38="P",IF(#REF!&lt;&gt;"",#REF!,""),"")</f>
        <v>#REF!</v>
      </c>
      <c r="W195" s="454" t="e">
        <f>IF($B$38="P",IF(#REF!&lt;&gt;"",#REF!,""),"")</f>
        <v>#REF!</v>
      </c>
      <c r="Y195">
        <v>18</v>
      </c>
      <c r="AB195">
        <f t="shared" si="3"/>
        <v>1</v>
      </c>
      <c r="AC195" s="356" t="e">
        <f t="shared" si="6"/>
        <v>#REF!</v>
      </c>
      <c r="AD195" s="454" t="e">
        <f>IF($B$38="P",IF(#REF!&lt;&gt;"",#REF!,""),IF(#REF!&lt;&gt;"",#REF!,""))</f>
        <v>#REF!</v>
      </c>
      <c r="AE195" s="454" t="e">
        <f>IF($B$38="P",IF(#REF!&lt;&gt;"",#REF!,""),IF(#REF!&lt;&gt;"",#REF!,""))</f>
        <v>#REF!</v>
      </c>
      <c r="AG195">
        <v>18</v>
      </c>
      <c r="AH195">
        <v>46</v>
      </c>
      <c r="AQ195">
        <f t="shared" si="4"/>
        <v>1</v>
      </c>
      <c r="AR195" s="356" t="e">
        <f t="shared" si="5"/>
        <v>#REF!</v>
      </c>
      <c r="AS195" s="454" t="e">
        <f>IF($B$38="P",IF(#REF!&lt;&gt;"",#REF!,""),"")</f>
        <v>#REF!</v>
      </c>
      <c r="AT195" s="454" t="e">
        <f>IF($B$38="P",IF(#REF!&lt;&gt;"",#REF!,""),"")</f>
        <v>#REF!</v>
      </c>
      <c r="AV195">
        <v>18</v>
      </c>
      <c r="AW195" s="359"/>
    </row>
    <row r="196" spans="18:49" ht="12.75" hidden="1" customHeight="1">
      <c r="R196">
        <f t="shared" si="1"/>
        <v>1</v>
      </c>
      <c r="S196" s="356" t="e">
        <f t="shared" si="2"/>
        <v>#REF!</v>
      </c>
      <c r="T196" s="454" t="e">
        <f>IF($B$38="P",IF(#REF!&lt;&gt;"",#REF!,""),"")</f>
        <v>#REF!</v>
      </c>
      <c r="U196" s="454" t="e">
        <f>IF($B$38="P",IF(#REF!&lt;&gt;"",ABS(#REF!),""),"")</f>
        <v>#REF!</v>
      </c>
      <c r="V196" s="454" t="e">
        <f>IF($B$38="P",IF(#REF!&lt;&gt;"",#REF!,""),"")</f>
        <v>#REF!</v>
      </c>
      <c r="W196" s="454" t="e">
        <f>IF($B$38="P",IF(#REF!&lt;&gt;"",#REF!,""),"")</f>
        <v>#REF!</v>
      </c>
      <c r="Y196">
        <v>19</v>
      </c>
      <c r="AB196">
        <f t="shared" si="3"/>
        <v>1</v>
      </c>
      <c r="AC196" s="356" t="e">
        <f t="shared" si="6"/>
        <v>#REF!</v>
      </c>
      <c r="AD196" s="454" t="e">
        <f>IF($B$38="P",IF(#REF!&lt;&gt;"",#REF!,""),IF(#REF!&lt;&gt;"",#REF!,""))</f>
        <v>#REF!</v>
      </c>
      <c r="AE196" s="454" t="e">
        <f>IF($B$38="P",IF(#REF!&lt;&gt;"",#REF!,""),IF(#REF!&lt;&gt;"",#REF!,""))</f>
        <v>#REF!</v>
      </c>
      <c r="AG196">
        <v>19</v>
      </c>
      <c r="AH196">
        <v>47</v>
      </c>
      <c r="AQ196">
        <f t="shared" si="4"/>
        <v>1</v>
      </c>
      <c r="AR196" s="356" t="e">
        <f t="shared" si="5"/>
        <v>#REF!</v>
      </c>
      <c r="AS196" s="454" t="e">
        <f>IF($B$38="P",IF(#REF!&lt;&gt;"",#REF!,""),"")</f>
        <v>#REF!</v>
      </c>
      <c r="AT196" s="454" t="e">
        <f>IF($B$38="P",IF(#REF!&lt;&gt;"",#REF!,""),"")</f>
        <v>#REF!</v>
      </c>
      <c r="AV196">
        <v>19</v>
      </c>
      <c r="AW196" s="359"/>
    </row>
    <row r="197" spans="18:49" ht="12.75" hidden="1" customHeight="1">
      <c r="R197">
        <f t="shared" si="1"/>
        <v>1</v>
      </c>
      <c r="S197" s="356" t="e">
        <f t="shared" si="2"/>
        <v>#REF!</v>
      </c>
      <c r="T197" s="454" t="e">
        <f>IF($B$38="P",IF(#REF!&lt;&gt;"",#REF!,""),"")</f>
        <v>#REF!</v>
      </c>
      <c r="U197" s="454" t="e">
        <f>IF($B$38="P",IF(#REF!&lt;&gt;"",ABS(#REF!),""),"")</f>
        <v>#REF!</v>
      </c>
      <c r="V197" s="454" t="e">
        <f>IF($B$38="P",IF(#REF!&lt;&gt;"",#REF!,""),"")</f>
        <v>#REF!</v>
      </c>
      <c r="W197" s="454" t="e">
        <f>IF($B$38="P",IF(#REF!&lt;&gt;"",#REF!,""),"")</f>
        <v>#REF!</v>
      </c>
      <c r="Y197">
        <v>20</v>
      </c>
      <c r="AB197">
        <f t="shared" si="3"/>
        <v>1</v>
      </c>
      <c r="AC197" s="356" t="e">
        <f t="shared" si="6"/>
        <v>#REF!</v>
      </c>
      <c r="AD197" s="454" t="e">
        <f>IF($B$38="P",IF(#REF!&lt;&gt;"",#REF!,""),IF(#REF!&lt;&gt;"",#REF!,""))</f>
        <v>#REF!</v>
      </c>
      <c r="AE197" s="454" t="e">
        <f>IF($B$38="P",IF(#REF!&lt;&gt;"",#REF!,""),IF(#REF!&lt;&gt;"",#REF!,""))</f>
        <v>#REF!</v>
      </c>
      <c r="AG197">
        <v>20</v>
      </c>
      <c r="AH197">
        <v>48</v>
      </c>
      <c r="AQ197">
        <f t="shared" si="4"/>
        <v>1</v>
      </c>
      <c r="AR197" s="356" t="e">
        <f t="shared" si="5"/>
        <v>#REF!</v>
      </c>
      <c r="AS197" s="454" t="e">
        <f>IF($B$38="P",IF(#REF!&lt;&gt;"",#REF!,""),"")</f>
        <v>#REF!</v>
      </c>
      <c r="AT197" s="454" t="e">
        <f>IF($B$38="P",IF(#REF!&lt;&gt;"",#REF!,""),"")</f>
        <v>#REF!</v>
      </c>
      <c r="AV197">
        <v>20</v>
      </c>
      <c r="AW197" s="359"/>
    </row>
    <row r="198" spans="18:49" ht="12.75" hidden="1" customHeight="1">
      <c r="R198">
        <f t="shared" si="1"/>
        <v>1</v>
      </c>
      <c r="S198" s="356" t="e">
        <f t="shared" si="2"/>
        <v>#REF!</v>
      </c>
      <c r="T198" s="454" t="e">
        <f>IF($B$38="P",IF(#REF!&lt;&gt;"",#REF!,""),"")</f>
        <v>#REF!</v>
      </c>
      <c r="U198" s="454" t="e">
        <f>IF($B$38="P",IF(#REF!&lt;&gt;"",ABS(#REF!),""),"")</f>
        <v>#REF!</v>
      </c>
      <c r="V198" s="454" t="e">
        <f>IF($B$38="P",IF(#REF!&lt;&gt;"",#REF!,""),"")</f>
        <v>#REF!</v>
      </c>
      <c r="W198" s="454" t="e">
        <f>IF($B$38="P",IF(#REF!&lt;&gt;"",#REF!,""),"")</f>
        <v>#REF!</v>
      </c>
      <c r="Y198">
        <v>21</v>
      </c>
      <c r="AB198">
        <f t="shared" si="3"/>
        <v>1</v>
      </c>
      <c r="AC198" s="356" t="e">
        <f t="shared" si="6"/>
        <v>#REF!</v>
      </c>
      <c r="AD198" s="454" t="e">
        <f>IF($B$38="P",IF(#REF!&lt;&gt;"",#REF!,""),IF(#REF!&lt;&gt;"",#REF!,""))</f>
        <v>#REF!</v>
      </c>
      <c r="AE198" s="454" t="e">
        <f>IF($B$38="P",IF(#REF!&lt;&gt;"",#REF!,""),IF(#REF!&lt;&gt;"",#REF!,""))</f>
        <v>#REF!</v>
      </c>
      <c r="AG198">
        <v>21</v>
      </c>
      <c r="AH198">
        <v>49</v>
      </c>
      <c r="AQ198">
        <f t="shared" si="4"/>
        <v>1</v>
      </c>
      <c r="AR198" s="356" t="e">
        <f t="shared" si="5"/>
        <v>#REF!</v>
      </c>
      <c r="AS198" s="454" t="e">
        <f>IF($B$38="P",IF(#REF!&lt;&gt;"",#REF!,""),"")</f>
        <v>#REF!</v>
      </c>
      <c r="AT198" s="454" t="e">
        <f>IF($B$38="P",IF(#REF!&lt;&gt;"",#REF!,""),"")</f>
        <v>#REF!</v>
      </c>
      <c r="AV198">
        <v>21</v>
      </c>
      <c r="AW198" s="359"/>
    </row>
    <row r="199" spans="18:49" ht="12.75" hidden="1" customHeight="1">
      <c r="R199">
        <f t="shared" si="1"/>
        <v>1</v>
      </c>
      <c r="S199" s="356" t="e">
        <f t="shared" si="2"/>
        <v>#REF!</v>
      </c>
      <c r="T199" s="454" t="e">
        <f>IF($B$38="P",IF(#REF!&lt;&gt;"",#REF!,""),"")</f>
        <v>#REF!</v>
      </c>
      <c r="U199" s="454" t="e">
        <f>IF($B$38="P",IF(#REF!&lt;&gt;"",ABS(#REF!),""),"")</f>
        <v>#REF!</v>
      </c>
      <c r="V199" s="454" t="e">
        <f>IF($B$38="P",IF(#REF!&lt;&gt;"",#REF!,""),"")</f>
        <v>#REF!</v>
      </c>
      <c r="W199" s="454" t="e">
        <f>IF($B$38="P",IF(#REF!&lt;&gt;"",#REF!,""),"")</f>
        <v>#REF!</v>
      </c>
      <c r="Y199">
        <v>22</v>
      </c>
      <c r="AB199">
        <f t="shared" si="3"/>
        <v>1</v>
      </c>
      <c r="AC199" s="356" t="e">
        <f t="shared" si="6"/>
        <v>#REF!</v>
      </c>
      <c r="AD199" s="454" t="e">
        <f>IF($B$38="P",IF(#REF!&lt;&gt;"",#REF!,""),IF(#REF!&lt;&gt;"",#REF!,""))</f>
        <v>#REF!</v>
      </c>
      <c r="AE199" s="454" t="e">
        <f>IF($B$38="P",IF(#REF!&lt;&gt;"",#REF!,""),IF(#REF!&lt;&gt;"",#REF!,""))</f>
        <v>#REF!</v>
      </c>
      <c r="AG199">
        <v>22</v>
      </c>
      <c r="AH199">
        <v>50</v>
      </c>
      <c r="AQ199">
        <f t="shared" si="4"/>
        <v>1</v>
      </c>
      <c r="AR199" s="356" t="e">
        <f t="shared" si="5"/>
        <v>#REF!</v>
      </c>
      <c r="AS199" s="454" t="e">
        <f>IF($B$38="P",IF(#REF!&lt;&gt;"",#REF!,""),"")</f>
        <v>#REF!</v>
      </c>
      <c r="AT199" s="454" t="e">
        <f>IF($B$38="P",IF(#REF!&lt;&gt;"",#REF!,""),"")</f>
        <v>#REF!</v>
      </c>
      <c r="AV199">
        <v>22</v>
      </c>
      <c r="AW199" s="359"/>
    </row>
    <row r="200" spans="18:49" ht="12.75" hidden="1" customHeight="1">
      <c r="R200">
        <f t="shared" si="1"/>
        <v>1</v>
      </c>
      <c r="S200" s="356" t="e">
        <f t="shared" si="2"/>
        <v>#REF!</v>
      </c>
      <c r="T200" s="454" t="e">
        <f>IF($B$38="P",IF(#REF!&lt;&gt;"",#REF!,""),"")</f>
        <v>#REF!</v>
      </c>
      <c r="U200" s="454" t="e">
        <f>IF($B$38="P",IF(#REF!&lt;&gt;"",ABS(#REF!),""),"")</f>
        <v>#REF!</v>
      </c>
      <c r="V200" s="454" t="e">
        <f>IF($B$38="P",IF(#REF!&lt;&gt;"",#REF!,""),"")</f>
        <v>#REF!</v>
      </c>
      <c r="W200" s="454" t="e">
        <f>IF($B$38="P",IF(#REF!&lt;&gt;"",#REF!,""),"")</f>
        <v>#REF!</v>
      </c>
      <c r="Y200">
        <v>23</v>
      </c>
      <c r="AB200">
        <f t="shared" si="3"/>
        <v>1</v>
      </c>
      <c r="AC200" s="356" t="e">
        <f t="shared" si="6"/>
        <v>#REF!</v>
      </c>
      <c r="AD200" s="454" t="e">
        <f>IF($B$38="P",IF(#REF!&lt;&gt;"",#REF!,""),IF(#REF!&lt;&gt;"",#REF!,""))</f>
        <v>#REF!</v>
      </c>
      <c r="AE200" s="454" t="e">
        <f>IF($B$38="P",IF(#REF!&lt;&gt;"",#REF!,""),IF(#REF!&lt;&gt;"",#REF!,""))</f>
        <v>#REF!</v>
      </c>
      <c r="AG200">
        <v>23</v>
      </c>
      <c r="AH200">
        <v>53</v>
      </c>
      <c r="AQ200">
        <f t="shared" si="4"/>
        <v>1</v>
      </c>
      <c r="AR200" s="356" t="e">
        <f t="shared" si="5"/>
        <v>#REF!</v>
      </c>
      <c r="AS200" s="454" t="e">
        <f>IF($B$38="P",IF(#REF!&lt;&gt;"",#REF!,""),"")</f>
        <v>#REF!</v>
      </c>
      <c r="AT200" s="454" t="e">
        <f>IF($B$38="P",IF(#REF!&lt;&gt;"",#REF!,""),"")</f>
        <v>#REF!</v>
      </c>
      <c r="AV200">
        <v>23</v>
      </c>
      <c r="AW200" s="359"/>
    </row>
    <row r="201" spans="18:49" ht="12.75" hidden="1" customHeight="1">
      <c r="R201">
        <f t="shared" si="1"/>
        <v>1</v>
      </c>
      <c r="S201" s="356" t="e">
        <f t="shared" si="2"/>
        <v>#REF!</v>
      </c>
      <c r="T201" s="454" t="e">
        <f>IF($B$38="P",IF(#REF!&lt;&gt;"",#REF!,""),"")</f>
        <v>#REF!</v>
      </c>
      <c r="U201" s="454" t="e">
        <f>IF($B$38="P",IF(#REF!&lt;&gt;"",ABS(#REF!),""),"")</f>
        <v>#REF!</v>
      </c>
      <c r="V201" s="454" t="e">
        <f>IF($B$38="P",IF(#REF!&lt;&gt;"",#REF!,""),"")</f>
        <v>#REF!</v>
      </c>
      <c r="W201" s="454" t="e">
        <f>IF($B$38="P",IF(#REF!&lt;&gt;"",#REF!,""),"")</f>
        <v>#REF!</v>
      </c>
      <c r="Y201">
        <v>24</v>
      </c>
      <c r="AB201">
        <f t="shared" si="3"/>
        <v>1</v>
      </c>
      <c r="AC201" s="356" t="e">
        <f t="shared" si="6"/>
        <v>#REF!</v>
      </c>
      <c r="AD201" s="454" t="e">
        <f>IF($B$38="P",IF(#REF!&lt;&gt;"",#REF!,""),IF(#REF!&lt;&gt;"",#REF!,""))</f>
        <v>#REF!</v>
      </c>
      <c r="AE201" s="454" t="e">
        <f>IF($B$38="P",IF(#REF!&lt;&gt;"",#REF!,""),IF(#REF!&lt;&gt;"",#REF!,""))</f>
        <v>#REF!</v>
      </c>
      <c r="AG201">
        <v>24</v>
      </c>
      <c r="AH201">
        <v>54</v>
      </c>
      <c r="AQ201">
        <f t="shared" si="4"/>
        <v>1</v>
      </c>
      <c r="AR201" s="356" t="e">
        <f t="shared" si="5"/>
        <v>#REF!</v>
      </c>
      <c r="AS201" s="454" t="e">
        <f>IF($B$38="P",IF(#REF!&lt;&gt;"",#REF!,""),"")</f>
        <v>#REF!</v>
      </c>
      <c r="AT201" s="454" t="e">
        <f>IF($B$38="P",IF(#REF!&lt;&gt;"",#REF!,""),"")</f>
        <v>#REF!</v>
      </c>
      <c r="AV201">
        <v>24</v>
      </c>
      <c r="AW201" s="359"/>
    </row>
    <row r="202" spans="18:49" ht="12.75" hidden="1" customHeight="1">
      <c r="R202">
        <f t="shared" si="1"/>
        <v>1</v>
      </c>
      <c r="S202" s="356" t="e">
        <f t="shared" si="2"/>
        <v>#REF!</v>
      </c>
      <c r="T202" s="454" t="e">
        <f>IF($B$38="P",IF(#REF!&lt;&gt;"",#REF!,""),"")</f>
        <v>#REF!</v>
      </c>
      <c r="U202" s="454" t="e">
        <f>IF($B$38="P",IF(#REF!&lt;&gt;"",ABS(#REF!),""),"")</f>
        <v>#REF!</v>
      </c>
      <c r="V202" s="454" t="e">
        <f>IF($B$38="P",IF(#REF!&lt;&gt;"",#REF!,""),"")</f>
        <v>#REF!</v>
      </c>
      <c r="W202" s="454" t="e">
        <f>IF($B$38="P",IF(#REF!&lt;&gt;"",#REF!,""),"")</f>
        <v>#REF!</v>
      </c>
      <c r="Y202">
        <v>25</v>
      </c>
      <c r="AB202">
        <f t="shared" si="3"/>
        <v>1</v>
      </c>
      <c r="AC202" s="356" t="e">
        <f t="shared" si="6"/>
        <v>#REF!</v>
      </c>
      <c r="AD202" s="454" t="e">
        <f>IF($B$38="P",IF(#REF!&lt;&gt;"",#REF!,""),IF(#REF!&lt;&gt;"",#REF!,""))</f>
        <v>#REF!</v>
      </c>
      <c r="AE202" s="454" t="e">
        <f>IF($B$38="P",IF(#REF!&lt;&gt;"",#REF!,""),IF(#REF!&lt;&gt;"",#REF!,""))</f>
        <v>#REF!</v>
      </c>
      <c r="AG202">
        <v>25</v>
      </c>
      <c r="AH202">
        <v>55</v>
      </c>
      <c r="AQ202">
        <f t="shared" si="4"/>
        <v>1</v>
      </c>
      <c r="AR202" s="356" t="e">
        <f t="shared" si="5"/>
        <v>#REF!</v>
      </c>
      <c r="AS202" s="454" t="e">
        <f>IF($B$38="P",IF(#REF!&lt;&gt;"",#REF!,""),"")</f>
        <v>#REF!</v>
      </c>
      <c r="AT202" s="454" t="e">
        <f>IF($B$38="P",IF(#REF!&lt;&gt;"",#REF!,""),"")</f>
        <v>#REF!</v>
      </c>
      <c r="AV202">
        <v>25</v>
      </c>
      <c r="AW202" s="359"/>
    </row>
    <row r="203" spans="18:49" ht="12.75" hidden="1" customHeight="1">
      <c r="R203">
        <f t="shared" si="1"/>
        <v>1</v>
      </c>
      <c r="S203" s="356" t="e">
        <f t="shared" si="2"/>
        <v>#REF!</v>
      </c>
      <c r="T203" s="454" t="e">
        <f>IF($B$38="P",IF(#REF!&lt;&gt;"",#REF!,""),"")</f>
        <v>#REF!</v>
      </c>
      <c r="U203" s="454" t="e">
        <f>IF($B$38="P",IF(#REF!&lt;&gt;"",ABS(#REF!),""),"")</f>
        <v>#REF!</v>
      </c>
      <c r="V203" s="454" t="e">
        <f>IF($B$38="P",IF(#REF!&lt;&gt;"",#REF!,""),"")</f>
        <v>#REF!</v>
      </c>
      <c r="W203" s="454" t="e">
        <f>IF($B$38="P",IF(#REF!&lt;&gt;"",#REF!,""),"")</f>
        <v>#REF!</v>
      </c>
      <c r="Y203">
        <v>26</v>
      </c>
      <c r="AB203">
        <f t="shared" si="3"/>
        <v>1</v>
      </c>
      <c r="AC203" s="356" t="e">
        <f t="shared" si="6"/>
        <v>#REF!</v>
      </c>
      <c r="AD203" s="454" t="e">
        <f>IF($B$38="P",IF(#REF!&lt;&gt;"",#REF!,""),IF(#REF!&lt;&gt;"",#REF!,""))</f>
        <v>#REF!</v>
      </c>
      <c r="AE203" s="454" t="e">
        <f>IF($B$38="P",IF(#REF!&lt;&gt;"",#REF!,""),IF(#REF!&lt;&gt;"",#REF!,""))</f>
        <v>#REF!</v>
      </c>
      <c r="AG203">
        <v>26</v>
      </c>
      <c r="AH203">
        <v>56</v>
      </c>
      <c r="AQ203">
        <f t="shared" si="4"/>
        <v>1</v>
      </c>
      <c r="AR203" s="356" t="e">
        <f t="shared" si="5"/>
        <v>#REF!</v>
      </c>
      <c r="AS203" s="454" t="e">
        <f>IF($B$38="P",IF(#REF!&lt;&gt;"",#REF!,""),"")</f>
        <v>#REF!</v>
      </c>
      <c r="AT203" s="454" t="e">
        <f>IF($B$38="P",IF(#REF!&lt;&gt;"",#REF!,""),"")</f>
        <v>#REF!</v>
      </c>
      <c r="AV203">
        <v>26</v>
      </c>
      <c r="AW203" s="359"/>
    </row>
    <row r="204" spans="18:49" ht="12.75" hidden="1" customHeight="1">
      <c r="R204">
        <f t="shared" si="1"/>
        <v>1</v>
      </c>
      <c r="S204" s="356" t="e">
        <f t="shared" si="2"/>
        <v>#REF!</v>
      </c>
      <c r="T204" s="454" t="e">
        <f>IF($B$38="P",IF(#REF!&lt;&gt;"",#REF!,""),"")</f>
        <v>#REF!</v>
      </c>
      <c r="U204" s="454" t="e">
        <f>IF($B$38="P",IF(#REF!&lt;&gt;"",ABS(#REF!),""),"")</f>
        <v>#REF!</v>
      </c>
      <c r="V204" s="454" t="e">
        <f>IF($B$38="P",IF(#REF!&lt;&gt;"",#REF!,""),"")</f>
        <v>#REF!</v>
      </c>
      <c r="W204" s="454" t="e">
        <f>IF($B$38="P",IF(#REF!&lt;&gt;"",#REF!,""),"")</f>
        <v>#REF!</v>
      </c>
      <c r="Y204">
        <v>27</v>
      </c>
      <c r="AB204">
        <f t="shared" si="3"/>
        <v>1</v>
      </c>
      <c r="AC204" s="356" t="e">
        <f t="shared" si="6"/>
        <v>#REF!</v>
      </c>
      <c r="AD204" s="454" t="e">
        <f>IF($B$38="P",IF(#REF!&lt;&gt;"",#REF!,""),"")</f>
        <v>#REF!</v>
      </c>
      <c r="AE204" s="454" t="e">
        <f>IF($B$38="P",IF(#REF!&lt;&gt;"",#REF!,""),"")</f>
        <v>#REF!</v>
      </c>
      <c r="AG204">
        <v>27</v>
      </c>
      <c r="AQ204">
        <f t="shared" si="4"/>
        <v>1</v>
      </c>
      <c r="AR204" s="356" t="e">
        <f t="shared" si="5"/>
        <v>#REF!</v>
      </c>
      <c r="AS204" s="454" t="e">
        <f>IF($B$38="P",IF(#REF!&lt;&gt;"",#REF!,""),"")</f>
        <v>#REF!</v>
      </c>
      <c r="AT204" s="454" t="e">
        <f>IF($B$38="P",IF(#REF!&lt;&gt;"",#REF!,""),"")</f>
        <v>#REF!</v>
      </c>
      <c r="AV204">
        <v>27</v>
      </c>
      <c r="AW204" s="359"/>
    </row>
    <row r="205" spans="18:49" ht="12.75" hidden="1" customHeight="1">
      <c r="R205">
        <f t="shared" si="1"/>
        <v>1</v>
      </c>
      <c r="S205" s="356" t="e">
        <f t="shared" si="2"/>
        <v>#REF!</v>
      </c>
      <c r="T205" s="454" t="e">
        <f>IF($B$38="P",IF(#REF!&lt;&gt;"",#REF!,""),"")</f>
        <v>#REF!</v>
      </c>
      <c r="U205" s="454" t="e">
        <f>IF($B$38="P",IF(#REF!&lt;&gt;"",ABS(#REF!),""),"")</f>
        <v>#REF!</v>
      </c>
      <c r="V205" s="454" t="e">
        <f>IF($B$38="P",IF(#REF!&lt;&gt;"",#REF!,""),"")</f>
        <v>#REF!</v>
      </c>
      <c r="W205" s="454" t="e">
        <f>IF($B$38="P",IF(#REF!&lt;&gt;"",#REF!,""),"")</f>
        <v>#REF!</v>
      </c>
      <c r="Y205">
        <v>28</v>
      </c>
      <c r="AB205">
        <f t="shared" si="3"/>
        <v>1</v>
      </c>
      <c r="AC205" s="356" t="e">
        <f t="shared" si="6"/>
        <v>#REF!</v>
      </c>
      <c r="AD205" s="454" t="e">
        <f>IF($B$38="P",IF(#REF!&lt;&gt;"",#REF!,""),"")</f>
        <v>#REF!</v>
      </c>
      <c r="AE205" s="454" t="e">
        <f>IF($B$38="P",IF(#REF!&lt;&gt;"",#REF!,""),"")</f>
        <v>#REF!</v>
      </c>
      <c r="AG205">
        <v>28</v>
      </c>
      <c r="AQ205">
        <f t="shared" si="4"/>
        <v>1</v>
      </c>
      <c r="AR205" s="356" t="e">
        <f t="shared" si="5"/>
        <v>#REF!</v>
      </c>
      <c r="AS205" s="454" t="e">
        <f>IF($B$38="P",IF(#REF!&lt;&gt;"",#REF!,""),"")</f>
        <v>#REF!</v>
      </c>
      <c r="AT205" s="454" t="e">
        <f>IF($B$38="P",IF(#REF!&lt;&gt;"",#REF!,""),"")</f>
        <v>#REF!</v>
      </c>
      <c r="AV205">
        <v>28</v>
      </c>
      <c r="AW205" s="359"/>
    </row>
    <row r="206" spans="18:49" ht="12.75" hidden="1" customHeight="1">
      <c r="R206">
        <f t="shared" si="1"/>
        <v>1</v>
      </c>
      <c r="S206" s="356" t="e">
        <f t="shared" si="2"/>
        <v>#REF!</v>
      </c>
      <c r="T206" s="454" t="e">
        <f>IF($B$38="P",IF(#REF!&lt;&gt;"",#REF!,""),"")</f>
        <v>#REF!</v>
      </c>
      <c r="U206" s="454" t="e">
        <f>IF($B$38="P",IF(#REF!&lt;&gt;"",ABS(#REF!),""),"")</f>
        <v>#REF!</v>
      </c>
      <c r="V206" s="454" t="e">
        <f>IF($B$38="P",IF(#REF!&lt;&gt;"",#REF!,""),"")</f>
        <v>#REF!</v>
      </c>
      <c r="W206" s="454" t="e">
        <f>IF($B$38="P",IF(#REF!&lt;&gt;"",#REF!,""),"")</f>
        <v>#REF!</v>
      </c>
      <c r="Y206">
        <v>29</v>
      </c>
      <c r="AB206">
        <f t="shared" si="3"/>
        <v>1</v>
      </c>
      <c r="AC206" s="356" t="e">
        <f t="shared" si="6"/>
        <v>#REF!</v>
      </c>
      <c r="AD206" s="454" t="e">
        <f>IF($B$38="P",IF(#REF!&lt;&gt;"",#REF!,""),"")</f>
        <v>#REF!</v>
      </c>
      <c r="AE206" s="454" t="e">
        <f>IF($B$38="P",IF(#REF!&lt;&gt;"",#REF!,""),"")</f>
        <v>#REF!</v>
      </c>
      <c r="AG206">
        <v>29</v>
      </c>
      <c r="AQ206">
        <f t="shared" si="4"/>
        <v>1</v>
      </c>
      <c r="AR206" s="356" t="e">
        <f t="shared" si="5"/>
        <v>#REF!</v>
      </c>
      <c r="AS206" s="454" t="e">
        <f>IF($B$38="P",IF(#REF!&lt;&gt;"",#REF!,""),"")</f>
        <v>#REF!</v>
      </c>
      <c r="AT206" s="454" t="e">
        <f>IF($B$38="P",IF(#REF!&lt;&gt;"",#REF!,""),"")</f>
        <v>#REF!</v>
      </c>
      <c r="AV206">
        <v>29</v>
      </c>
      <c r="AW206" s="359"/>
    </row>
    <row r="207" spans="18:49" ht="12.75" hidden="1" customHeight="1">
      <c r="R207">
        <f t="shared" si="1"/>
        <v>1</v>
      </c>
      <c r="S207" s="356" t="e">
        <f t="shared" si="2"/>
        <v>#REF!</v>
      </c>
      <c r="T207" s="454" t="e">
        <f>IF($B$38="P",IF(#REF!&lt;&gt;"",#REF!,""),"")</f>
        <v>#REF!</v>
      </c>
      <c r="U207" s="454" t="e">
        <f>IF($B$38="P",IF(#REF!&lt;&gt;"",ABS(#REF!),""),"")</f>
        <v>#REF!</v>
      </c>
      <c r="V207" s="454" t="e">
        <f>IF($B$38="P",IF(#REF!&lt;&gt;"",#REF!,""),"")</f>
        <v>#REF!</v>
      </c>
      <c r="W207" s="454" t="e">
        <f>IF($B$38="P",IF(#REF!&lt;&gt;"",#REF!,""),"")</f>
        <v>#REF!</v>
      </c>
      <c r="Y207">
        <v>30</v>
      </c>
      <c r="AB207">
        <f t="shared" si="3"/>
        <v>1</v>
      </c>
      <c r="AC207" s="356" t="e">
        <f t="shared" si="6"/>
        <v>#REF!</v>
      </c>
      <c r="AD207" s="454" t="e">
        <f>IF($B$38="P",IF(#REF!&lt;&gt;"",#REF!,""),"")</f>
        <v>#REF!</v>
      </c>
      <c r="AE207" s="454" t="e">
        <f>IF($B$38="P",IF(#REF!&lt;&gt;"",#REF!,""),"")</f>
        <v>#REF!</v>
      </c>
      <c r="AG207">
        <v>30</v>
      </c>
      <c r="AQ207">
        <f t="shared" si="4"/>
        <v>1</v>
      </c>
      <c r="AR207" s="356" t="e">
        <f t="shared" si="5"/>
        <v>#REF!</v>
      </c>
      <c r="AS207" s="454" t="e">
        <f>IF($B$38="P",IF(#REF!&lt;&gt;"",#REF!,""),"")</f>
        <v>#REF!</v>
      </c>
      <c r="AT207" s="454" t="e">
        <f>IF($B$38="P",IF(#REF!&lt;&gt;"",#REF!,""),"")</f>
        <v>#REF!</v>
      </c>
      <c r="AV207">
        <v>30</v>
      </c>
      <c r="AW207" s="359"/>
    </row>
    <row r="208" spans="18:49" ht="12.75" hidden="1" customHeight="1">
      <c r="R208">
        <f t="shared" si="1"/>
        <v>1</v>
      </c>
      <c r="S208" s="356" t="e">
        <f t="shared" si="2"/>
        <v>#REF!</v>
      </c>
      <c r="T208" s="454" t="e">
        <f>IF($B$38="P",IF(#REF!&lt;&gt;"",#REF!,""),"")</f>
        <v>#REF!</v>
      </c>
      <c r="U208" s="454" t="e">
        <f>IF($B$38="P",IF(#REF!&lt;&gt;"",ABS(#REF!),""),"")</f>
        <v>#REF!</v>
      </c>
      <c r="V208" s="454" t="e">
        <f>IF($B$38="P",IF(#REF!&lt;&gt;"",#REF!,""),"")</f>
        <v>#REF!</v>
      </c>
      <c r="W208" s="454" t="e">
        <f>IF($B$38="P",IF(#REF!&lt;&gt;"",#REF!,""),"")</f>
        <v>#REF!</v>
      </c>
      <c r="Y208">
        <v>31</v>
      </c>
      <c r="AB208">
        <f t="shared" si="3"/>
        <v>1</v>
      </c>
      <c r="AC208" s="356" t="e">
        <f t="shared" si="6"/>
        <v>#REF!</v>
      </c>
      <c r="AD208" s="454" t="e">
        <f>IF($B$38="P",IF(#REF!&lt;&gt;"",#REF!,""),"")</f>
        <v>#REF!</v>
      </c>
      <c r="AE208" s="454" t="e">
        <f>IF($B$38="P",IF(#REF!&lt;&gt;"",#REF!,""),"")</f>
        <v>#REF!</v>
      </c>
      <c r="AG208">
        <v>31</v>
      </c>
      <c r="AQ208">
        <f t="shared" si="4"/>
        <v>1</v>
      </c>
      <c r="AR208" s="356" t="e">
        <f t="shared" si="5"/>
        <v>#REF!</v>
      </c>
      <c r="AS208" s="454" t="e">
        <f>IF($B$38="P",IF(#REF!&lt;&gt;"",#REF!,""),"")</f>
        <v>#REF!</v>
      </c>
      <c r="AT208" s="454" t="e">
        <f>IF($B$38="P",IF(#REF!&lt;&gt;"",#REF!,""),"")</f>
        <v>#REF!</v>
      </c>
      <c r="AV208">
        <v>31</v>
      </c>
      <c r="AW208" s="359"/>
    </row>
    <row r="209" spans="18:49" ht="12.75" hidden="1" customHeight="1">
      <c r="R209">
        <f t="shared" si="1"/>
        <v>1</v>
      </c>
      <c r="S209" s="356" t="e">
        <f t="shared" si="2"/>
        <v>#REF!</v>
      </c>
      <c r="T209" s="454" t="e">
        <f>IF($B$38="P",IF(#REF!&lt;&gt;"",#REF!,""),"")</f>
        <v>#REF!</v>
      </c>
      <c r="U209" s="454" t="e">
        <f>IF($B$38="P",IF(#REF!&lt;&gt;"",ABS(#REF!),""),"")</f>
        <v>#REF!</v>
      </c>
      <c r="V209" s="454" t="e">
        <f>IF($B$38="P",IF(#REF!&lt;&gt;"",#REF!,""),"")</f>
        <v>#REF!</v>
      </c>
      <c r="W209" s="454" t="e">
        <f>IF($B$38="P",IF(#REF!&lt;&gt;"",#REF!,""),"")</f>
        <v>#REF!</v>
      </c>
      <c r="Y209">
        <v>32</v>
      </c>
      <c r="AB209">
        <f t="shared" si="3"/>
        <v>1</v>
      </c>
      <c r="AC209" s="356" t="e">
        <f t="shared" si="6"/>
        <v>#REF!</v>
      </c>
      <c r="AD209" s="454" t="e">
        <f>IF($B$38="P",IF(#REF!&lt;&gt;"",#REF!,""),"")</f>
        <v>#REF!</v>
      </c>
      <c r="AE209" s="454" t="e">
        <f>IF($B$38="P",IF(#REF!&lt;&gt;"",#REF!,""),"")</f>
        <v>#REF!</v>
      </c>
      <c r="AG209">
        <v>32</v>
      </c>
      <c r="AQ209">
        <f t="shared" si="4"/>
        <v>1</v>
      </c>
      <c r="AR209" s="356" t="e">
        <f t="shared" si="5"/>
        <v>#REF!</v>
      </c>
      <c r="AS209" s="454" t="e">
        <f>IF($B$38="P",IF(#REF!&lt;&gt;"",#REF!,""),"")</f>
        <v>#REF!</v>
      </c>
      <c r="AT209" s="454" t="e">
        <f>IF($B$38="P",IF(#REF!&lt;&gt;"",#REF!,""),"")</f>
        <v>#REF!</v>
      </c>
      <c r="AV209">
        <v>32</v>
      </c>
      <c r="AW209" s="359"/>
    </row>
    <row r="210" spans="18:49" ht="12.75" hidden="1" customHeight="1">
      <c r="R210">
        <f t="shared" ref="R210:R243" si="7">$Q$178</f>
        <v>1</v>
      </c>
      <c r="S210" s="356" t="e">
        <f t="shared" si="2"/>
        <v>#REF!</v>
      </c>
      <c r="T210" s="454" t="e">
        <f>IF($B$38="P",IF(#REF!&lt;&gt;"",#REF!,""),"")</f>
        <v>#REF!</v>
      </c>
      <c r="U210" s="454" t="e">
        <f>IF($B$38="P",IF(#REF!&lt;&gt;"",ABS(#REF!),""),"")</f>
        <v>#REF!</v>
      </c>
      <c r="V210" s="454" t="e">
        <f>IF($B$38="P",IF(#REF!&lt;&gt;"",#REF!,""),"")</f>
        <v>#REF!</v>
      </c>
      <c r="W210" s="454" t="e">
        <f>IF($B$38="P",IF(#REF!&lt;&gt;"",#REF!,""),"")</f>
        <v>#REF!</v>
      </c>
      <c r="Y210">
        <v>33</v>
      </c>
      <c r="AB210">
        <f t="shared" ref="AB210:AB233" si="8">$AB$176</f>
        <v>1</v>
      </c>
      <c r="AC210" s="356" t="e">
        <f t="shared" si="6"/>
        <v>#REF!</v>
      </c>
      <c r="AD210" s="454" t="e">
        <f>IF($B$38="P",IF(#REF!&lt;&gt;"",#REF!,""),"")</f>
        <v>#REF!</v>
      </c>
      <c r="AE210" s="454" t="e">
        <f>IF($B$38="P",IF(#REF!&lt;&gt;"",#REF!,""),"")</f>
        <v>#REF!</v>
      </c>
      <c r="AG210">
        <v>33</v>
      </c>
      <c r="AQ210">
        <f t="shared" ref="AQ210:AQ235" si="9">$AP$178</f>
        <v>1</v>
      </c>
      <c r="AR210" s="356" t="e">
        <f t="shared" si="5"/>
        <v>#REF!</v>
      </c>
      <c r="AS210" s="454" t="e">
        <f>IF($B$38="P",IF(#REF!&lt;&gt;"",#REF!,""),"")</f>
        <v>#REF!</v>
      </c>
      <c r="AT210" s="454" t="e">
        <f>IF($B$38="P",IF(#REF!&lt;&gt;"",#REF!,""),"")</f>
        <v>#REF!</v>
      </c>
      <c r="AV210">
        <v>33</v>
      </c>
      <c r="AW210" s="359"/>
    </row>
    <row r="211" spans="18:49" ht="12.75" hidden="1" customHeight="1">
      <c r="R211">
        <f t="shared" si="7"/>
        <v>1</v>
      </c>
      <c r="S211" s="356" t="e">
        <f t="shared" si="2"/>
        <v>#REF!</v>
      </c>
      <c r="T211" s="454" t="e">
        <f>IF($B$38="P",IF(#REF!&lt;&gt;"",#REF!,""),"")</f>
        <v>#REF!</v>
      </c>
      <c r="U211" s="454" t="e">
        <f>IF($B$38="P",IF(#REF!&lt;&gt;"",ABS(#REF!),""),"")</f>
        <v>#REF!</v>
      </c>
      <c r="V211" s="454" t="e">
        <f>IF($B$38="P",IF(#REF!&lt;&gt;"",#REF!,""),"")</f>
        <v>#REF!</v>
      </c>
      <c r="W211" s="454" t="e">
        <f>IF($B$38="P",IF(#REF!&lt;&gt;"",#REF!,""),"")</f>
        <v>#REF!</v>
      </c>
      <c r="Y211">
        <v>34</v>
      </c>
      <c r="AB211">
        <f t="shared" si="8"/>
        <v>1</v>
      </c>
      <c r="AC211" s="356" t="e">
        <f t="shared" si="6"/>
        <v>#REF!</v>
      </c>
      <c r="AD211" s="454" t="e">
        <f>IF($B$38="P",IF(#REF!&lt;&gt;"",#REF!,""),"")</f>
        <v>#REF!</v>
      </c>
      <c r="AE211" s="454" t="e">
        <f>IF($B$38="P",IF(#REF!&lt;&gt;"",#REF!,""),"")</f>
        <v>#REF!</v>
      </c>
      <c r="AG211">
        <v>34</v>
      </c>
      <c r="AQ211">
        <f t="shared" si="9"/>
        <v>1</v>
      </c>
      <c r="AR211" s="356" t="e">
        <f t="shared" si="5"/>
        <v>#REF!</v>
      </c>
      <c r="AS211" s="454" t="e">
        <f>IF($B$38="P",IF(#REF!&lt;&gt;"",#REF!,""),"")</f>
        <v>#REF!</v>
      </c>
      <c r="AT211" s="454" t="e">
        <f>IF($B$38="P",IF(#REF!&lt;&gt;"",#REF!,""),"")</f>
        <v>#REF!</v>
      </c>
      <c r="AV211">
        <v>34</v>
      </c>
      <c r="AW211" s="359"/>
    </row>
    <row r="212" spans="18:49" ht="12.75" hidden="1" customHeight="1">
      <c r="R212">
        <f t="shared" si="7"/>
        <v>1</v>
      </c>
      <c r="S212" s="356" t="e">
        <f t="shared" si="2"/>
        <v>#REF!</v>
      </c>
      <c r="T212" s="454" t="e">
        <f>IF($B$38="P",IF(#REF!&lt;&gt;"",#REF!,""),"")</f>
        <v>#REF!</v>
      </c>
      <c r="U212" s="454" t="e">
        <f>IF($B$38="P",IF(#REF!&lt;&gt;"",ABS(#REF!),""),"")</f>
        <v>#REF!</v>
      </c>
      <c r="V212" s="454" t="e">
        <f>IF($B$38="P",IF(#REF!&lt;&gt;"",#REF!,""),"")</f>
        <v>#REF!</v>
      </c>
      <c r="W212" s="454" t="e">
        <f>IF($B$38="P",IF(#REF!&lt;&gt;"",#REF!,""),"")</f>
        <v>#REF!</v>
      </c>
      <c r="Y212">
        <v>35</v>
      </c>
      <c r="AB212">
        <f t="shared" si="8"/>
        <v>1</v>
      </c>
      <c r="AC212" s="356" t="e">
        <f t="shared" si="6"/>
        <v>#REF!</v>
      </c>
      <c r="AD212" s="454" t="e">
        <f>IF($B$38="P",IF(#REF!&lt;&gt;"",#REF!,""),"")</f>
        <v>#REF!</v>
      </c>
      <c r="AE212" s="454" t="e">
        <f>IF($B$38="P",IF(#REF!&lt;&gt;"",#REF!,""),"")</f>
        <v>#REF!</v>
      </c>
      <c r="AG212">
        <v>35</v>
      </c>
      <c r="AQ212">
        <f t="shared" si="9"/>
        <v>1</v>
      </c>
      <c r="AR212" s="356" t="e">
        <f t="shared" si="5"/>
        <v>#REF!</v>
      </c>
      <c r="AS212" s="454" t="e">
        <f>IF($B$38="P",IF(#REF!&lt;&gt;"",#REF!,""),"")</f>
        <v>#REF!</v>
      </c>
      <c r="AT212" s="454" t="e">
        <f>IF($B$38="P",IF(#REF!&lt;&gt;"",#REF!,""),"")</f>
        <v>#REF!</v>
      </c>
      <c r="AV212">
        <v>35</v>
      </c>
      <c r="AW212" s="359"/>
    </row>
    <row r="213" spans="18:49" ht="12.75" hidden="1" customHeight="1">
      <c r="R213">
        <f t="shared" si="7"/>
        <v>1</v>
      </c>
      <c r="S213" s="356" t="e">
        <f t="shared" si="2"/>
        <v>#REF!</v>
      </c>
      <c r="T213" s="454" t="e">
        <f>IF($B$38="P",IF(#REF!&lt;&gt;"",#REF!,""),"")</f>
        <v>#REF!</v>
      </c>
      <c r="U213" s="454" t="e">
        <f>IF($B$38="P",IF(#REF!&lt;&gt;"",ABS(#REF!),""),"")</f>
        <v>#REF!</v>
      </c>
      <c r="V213" s="454" t="e">
        <f>IF($B$38="P",IF(#REF!&lt;&gt;"",#REF!,""),"")</f>
        <v>#REF!</v>
      </c>
      <c r="W213" s="454" t="e">
        <f>IF($B$38="P",IF(#REF!&lt;&gt;"",#REF!,""),"")</f>
        <v>#REF!</v>
      </c>
      <c r="Y213">
        <v>36</v>
      </c>
      <c r="AB213">
        <f t="shared" si="8"/>
        <v>1</v>
      </c>
      <c r="AC213" s="356" t="e">
        <f t="shared" si="6"/>
        <v>#REF!</v>
      </c>
      <c r="AD213" s="454" t="e">
        <f>IF($B$38="P",IF(#REF!&lt;&gt;"",#REF!,""),"")</f>
        <v>#REF!</v>
      </c>
      <c r="AE213" s="454" t="e">
        <f>IF($B$38="P",IF(#REF!&lt;&gt;"",#REF!,""),"")</f>
        <v>#REF!</v>
      </c>
      <c r="AG213">
        <v>36</v>
      </c>
      <c r="AQ213">
        <f t="shared" si="9"/>
        <v>1</v>
      </c>
      <c r="AR213" s="356" t="e">
        <f t="shared" si="5"/>
        <v>#REF!</v>
      </c>
      <c r="AS213" s="454" t="e">
        <f>IF($B$38="P",IF(#REF!&lt;&gt;"",#REF!,""),"")</f>
        <v>#REF!</v>
      </c>
      <c r="AT213" s="454" t="e">
        <f>IF($B$38="P",IF(#REF!&lt;&gt;"",#REF!,""),"")</f>
        <v>#REF!</v>
      </c>
      <c r="AV213">
        <v>36</v>
      </c>
      <c r="AW213" s="359"/>
    </row>
    <row r="214" spans="18:49" ht="12.75" hidden="1" customHeight="1">
      <c r="R214">
        <f t="shared" si="7"/>
        <v>1</v>
      </c>
      <c r="S214" s="356" t="e">
        <f t="shared" si="2"/>
        <v>#REF!</v>
      </c>
      <c r="T214" s="454" t="e">
        <f>IF($B$38="P",IF(#REF!&lt;&gt;"",#REF!,""),"")</f>
        <v>#REF!</v>
      </c>
      <c r="U214" s="454" t="e">
        <f>IF($B$38="P",IF(#REF!&lt;&gt;"",ABS(#REF!),""),"")</f>
        <v>#REF!</v>
      </c>
      <c r="V214" s="454" t="e">
        <f>IF($B$38="P",IF(#REF!&lt;&gt;"",#REF!,""),"")</f>
        <v>#REF!</v>
      </c>
      <c r="W214" s="454" t="e">
        <f>IF($B$38="P",IF(#REF!&lt;&gt;"",#REF!,""),"")</f>
        <v>#REF!</v>
      </c>
      <c r="Y214">
        <v>37</v>
      </c>
      <c r="AB214">
        <f t="shared" si="8"/>
        <v>1</v>
      </c>
      <c r="AC214" s="356" t="e">
        <f t="shared" si="6"/>
        <v>#REF!</v>
      </c>
      <c r="AD214" s="454" t="e">
        <f>IF($B$38="P",IF(#REF!&lt;&gt;"",#REF!,""),"")</f>
        <v>#REF!</v>
      </c>
      <c r="AE214" s="454" t="e">
        <f>IF($B$38="P",IF(#REF!&lt;&gt;"",#REF!,""),"")</f>
        <v>#REF!</v>
      </c>
      <c r="AG214">
        <v>37</v>
      </c>
      <c r="AQ214">
        <f t="shared" si="9"/>
        <v>1</v>
      </c>
      <c r="AR214" s="356" t="e">
        <f t="shared" si="5"/>
        <v>#REF!</v>
      </c>
      <c r="AS214" s="454" t="e">
        <f>IF($B$38="P",IF(#REF!&lt;&gt;"",#REF!,""),"")</f>
        <v>#REF!</v>
      </c>
      <c r="AT214" s="454" t="e">
        <f>IF($B$38="P",IF(#REF!&lt;&gt;"",#REF!,""),"")</f>
        <v>#REF!</v>
      </c>
      <c r="AV214">
        <v>37</v>
      </c>
      <c r="AW214" s="359"/>
    </row>
    <row r="215" spans="18:49" ht="12.75" hidden="1" customHeight="1">
      <c r="R215">
        <f t="shared" si="7"/>
        <v>1</v>
      </c>
      <c r="S215" s="356" t="e">
        <f t="shared" si="2"/>
        <v>#REF!</v>
      </c>
      <c r="T215" s="454" t="e">
        <f>IF($B$38="P",IF(#REF!&lt;&gt;"",#REF!,""),"")</f>
        <v>#REF!</v>
      </c>
      <c r="U215" s="454" t="e">
        <f>IF($B$38="P",IF(#REF!&lt;&gt;"",ABS(#REF!),""),"")</f>
        <v>#REF!</v>
      </c>
      <c r="V215" s="454" t="e">
        <f>IF($B$38="P",IF(#REF!&lt;&gt;"",#REF!,""),"")</f>
        <v>#REF!</v>
      </c>
      <c r="W215" s="454" t="e">
        <f>IF($B$38="P",IF(#REF!&lt;&gt;"",#REF!,""),"")</f>
        <v>#REF!</v>
      </c>
      <c r="Y215">
        <v>38</v>
      </c>
      <c r="AB215">
        <f t="shared" si="8"/>
        <v>1</v>
      </c>
      <c r="AC215" s="356" t="e">
        <f t="shared" si="6"/>
        <v>#REF!</v>
      </c>
      <c r="AD215" s="454" t="e">
        <f>IF($B$38="P",IF(#REF!&lt;&gt;"",#REF!,""),"")</f>
        <v>#REF!</v>
      </c>
      <c r="AE215" s="454" t="e">
        <f>IF($B$38="P",IF(#REF!&lt;&gt;"",#REF!,""),"")</f>
        <v>#REF!</v>
      </c>
      <c r="AG215">
        <v>38</v>
      </c>
      <c r="AQ215">
        <f t="shared" si="9"/>
        <v>1</v>
      </c>
      <c r="AR215" s="356" t="e">
        <f t="shared" si="5"/>
        <v>#REF!</v>
      </c>
      <c r="AS215" s="454" t="e">
        <f>IF($B$38="P",IF(#REF!&lt;&gt;"",#REF!,""),"")</f>
        <v>#REF!</v>
      </c>
      <c r="AT215" s="454" t="e">
        <f>IF($B$38="P",IF(#REF!&lt;&gt;"",#REF!,""),"")</f>
        <v>#REF!</v>
      </c>
      <c r="AV215">
        <v>38</v>
      </c>
      <c r="AW215" s="359"/>
    </row>
    <row r="216" spans="18:49" ht="12.75" hidden="1" customHeight="1">
      <c r="R216">
        <f t="shared" si="7"/>
        <v>1</v>
      </c>
      <c r="S216" s="356" t="e">
        <f t="shared" si="2"/>
        <v>#REF!</v>
      </c>
      <c r="T216" s="454" t="e">
        <f>IF($B$38="P",IF(#REF!&lt;&gt;"",#REF!,""),"")</f>
        <v>#REF!</v>
      </c>
      <c r="U216" s="454" t="e">
        <f>IF($B$38="P",IF(#REF!&lt;&gt;"",ABS(#REF!),""),"")</f>
        <v>#REF!</v>
      </c>
      <c r="V216" s="454" t="e">
        <f>IF($B$38="P",IF(#REF!&lt;&gt;"",#REF!,""),"")</f>
        <v>#REF!</v>
      </c>
      <c r="W216" s="454" t="e">
        <f>IF($B$38="P",IF(#REF!&lt;&gt;"",#REF!,""),"")</f>
        <v>#REF!</v>
      </c>
      <c r="Y216">
        <v>39</v>
      </c>
      <c r="AB216">
        <f t="shared" si="8"/>
        <v>1</v>
      </c>
      <c r="AC216" s="356" t="e">
        <f t="shared" si="6"/>
        <v>#REF!</v>
      </c>
      <c r="AD216" s="454" t="e">
        <f>IF($B$38="P",IF(#REF!&lt;&gt;"",#REF!,""),"")</f>
        <v>#REF!</v>
      </c>
      <c r="AE216" s="454" t="e">
        <f>IF($B$38="P",IF(#REF!&lt;&gt;"",#REF!,""),"")</f>
        <v>#REF!</v>
      </c>
      <c r="AG216">
        <v>39</v>
      </c>
      <c r="AQ216">
        <f t="shared" si="9"/>
        <v>1</v>
      </c>
      <c r="AR216" s="356" t="e">
        <f t="shared" si="5"/>
        <v>#REF!</v>
      </c>
      <c r="AS216" s="454" t="e">
        <f>IF($B$38="P",IF(#REF!&lt;&gt;"",#REF!,""),"")</f>
        <v>#REF!</v>
      </c>
      <c r="AT216" s="454" t="e">
        <f>IF($B$38="P",IF(#REF!&lt;&gt;"",#REF!,""),"")</f>
        <v>#REF!</v>
      </c>
      <c r="AV216">
        <v>39</v>
      </c>
      <c r="AW216" s="359"/>
    </row>
    <row r="217" spans="18:49" ht="12.75" hidden="1" customHeight="1">
      <c r="R217">
        <f t="shared" si="7"/>
        <v>1</v>
      </c>
      <c r="S217" s="356" t="e">
        <f t="shared" si="2"/>
        <v>#REF!</v>
      </c>
      <c r="T217" s="454" t="e">
        <f>IF($B$38="P",IF(#REF!&lt;&gt;"",#REF!,""),"")</f>
        <v>#REF!</v>
      </c>
      <c r="U217" s="454" t="e">
        <f>IF($B$38="P",IF(#REF!&lt;&gt;"",ABS(#REF!),""),"")</f>
        <v>#REF!</v>
      </c>
      <c r="V217" s="454" t="e">
        <f>IF($B$38="P",IF(#REF!&lt;&gt;"",#REF!,""),"")</f>
        <v>#REF!</v>
      </c>
      <c r="W217" s="454" t="e">
        <f>IF($B$38="P",IF(#REF!&lt;&gt;"",#REF!,""),"")</f>
        <v>#REF!</v>
      </c>
      <c r="Y217">
        <v>40</v>
      </c>
      <c r="AB217">
        <f t="shared" si="8"/>
        <v>1</v>
      </c>
      <c r="AC217" s="356" t="e">
        <f t="shared" si="6"/>
        <v>#REF!</v>
      </c>
      <c r="AD217" s="454" t="e">
        <f>IF($B$38="P",IF(#REF!&lt;&gt;"",#REF!,""),"")</f>
        <v>#REF!</v>
      </c>
      <c r="AE217" s="454" t="e">
        <f>IF($B$38="P",IF(#REF!&lt;&gt;"",#REF!,""),"")</f>
        <v>#REF!</v>
      </c>
      <c r="AG217">
        <v>40</v>
      </c>
      <c r="AQ217">
        <f t="shared" si="9"/>
        <v>1</v>
      </c>
      <c r="AR217" s="356" t="e">
        <f t="shared" si="5"/>
        <v>#REF!</v>
      </c>
      <c r="AS217" s="454" t="e">
        <f>IF($B$38="P",IF(#REF!&lt;&gt;"",#REF!,""),"")</f>
        <v>#REF!</v>
      </c>
      <c r="AT217" s="454" t="e">
        <f>IF($B$38="P",IF(#REF!&lt;&gt;"",#REF!,""),"")</f>
        <v>#REF!</v>
      </c>
      <c r="AV217">
        <v>40</v>
      </c>
      <c r="AW217" s="359"/>
    </row>
    <row r="218" spans="18:49" ht="12.75" hidden="1" customHeight="1">
      <c r="R218">
        <f t="shared" si="7"/>
        <v>1</v>
      </c>
      <c r="S218" s="356" t="e">
        <f t="shared" si="2"/>
        <v>#REF!</v>
      </c>
      <c r="T218" s="454" t="e">
        <f>IF($B$38="P",IF(#REF!&lt;&gt;"",#REF!,""),"")</f>
        <v>#REF!</v>
      </c>
      <c r="U218" s="454" t="e">
        <f>IF($B$38="P",IF(#REF!&lt;&gt;"",ABS(#REF!),""),"")</f>
        <v>#REF!</v>
      </c>
      <c r="V218" s="454" t="e">
        <f>IF($B$38="P",IF(#REF!&lt;&gt;"",#REF!,""),"")</f>
        <v>#REF!</v>
      </c>
      <c r="W218" s="454" t="e">
        <f>IF($B$38="P",IF(#REF!&lt;&gt;"",#REF!,""),"")</f>
        <v>#REF!</v>
      </c>
      <c r="Y218">
        <v>41</v>
      </c>
      <c r="AB218">
        <f t="shared" si="8"/>
        <v>1</v>
      </c>
      <c r="AC218" s="356" t="e">
        <f t="shared" si="6"/>
        <v>#REF!</v>
      </c>
      <c r="AD218" s="454" t="e">
        <f>IF($B$38="P",IF(#REF!&lt;&gt;"",#REF!,""),"")</f>
        <v>#REF!</v>
      </c>
      <c r="AE218" s="454" t="e">
        <f>IF($B$38="P",IF(#REF!&lt;&gt;"",#REF!,""),"")</f>
        <v>#REF!</v>
      </c>
      <c r="AF218" s="303"/>
      <c r="AG218">
        <v>41</v>
      </c>
      <c r="AQ218">
        <f t="shared" si="9"/>
        <v>1</v>
      </c>
      <c r="AR218" s="356" t="e">
        <f t="shared" si="5"/>
        <v>#REF!</v>
      </c>
      <c r="AS218" s="454" t="e">
        <f>IF($B$38="P",IF(#REF!&lt;&gt;"",#REF!,""),"")</f>
        <v>#REF!</v>
      </c>
      <c r="AT218" s="454" t="e">
        <f>IF($B$38="P",IF(#REF!&lt;&gt;"",#REF!,""),"")</f>
        <v>#REF!</v>
      </c>
      <c r="AV218">
        <v>41</v>
      </c>
      <c r="AW218" s="359"/>
    </row>
    <row r="219" spans="18:49" ht="12.75" hidden="1" customHeight="1">
      <c r="R219">
        <f t="shared" si="7"/>
        <v>1</v>
      </c>
      <c r="S219" s="356" t="e">
        <f t="shared" si="2"/>
        <v>#REF!</v>
      </c>
      <c r="T219" s="454" t="e">
        <f>IF($B$38="P",IF(#REF!&lt;&gt;"",#REF!,""),"")</f>
        <v>#REF!</v>
      </c>
      <c r="U219" s="454" t="e">
        <f>IF($B$38="P",IF(#REF!&lt;&gt;"",ABS(#REF!),""),"")</f>
        <v>#REF!</v>
      </c>
      <c r="V219" s="454" t="e">
        <f>IF($B$38="P",IF(#REF!&lt;&gt;"",#REF!,""),"")</f>
        <v>#REF!</v>
      </c>
      <c r="W219" s="454" t="e">
        <f>IF($B$38="P",IF(#REF!&lt;&gt;"",#REF!,""),"")</f>
        <v>#REF!</v>
      </c>
      <c r="Y219">
        <v>42</v>
      </c>
      <c r="AB219">
        <f t="shared" si="8"/>
        <v>1</v>
      </c>
      <c r="AC219" s="356" t="e">
        <f t="shared" si="6"/>
        <v>#REF!</v>
      </c>
      <c r="AD219" s="454" t="e">
        <f>IF($B$38="P",IF(#REF!&lt;&gt;"",#REF!,""),"")</f>
        <v>#REF!</v>
      </c>
      <c r="AE219" s="454" t="e">
        <f>IF($B$38="P",IF(#REF!&lt;&gt;"",#REF!,""),"")</f>
        <v>#REF!</v>
      </c>
      <c r="AF219" s="359"/>
      <c r="AG219">
        <v>42</v>
      </c>
      <c r="AQ219">
        <f t="shared" si="9"/>
        <v>1</v>
      </c>
      <c r="AR219" s="356" t="e">
        <f t="shared" si="5"/>
        <v>#REF!</v>
      </c>
      <c r="AS219" s="454" t="e">
        <f>IF($B$38="P",IF(#REF!&lt;&gt;"",#REF!,""),"")</f>
        <v>#REF!</v>
      </c>
      <c r="AT219" s="454" t="e">
        <f>IF($B$38="P",IF(#REF!&lt;&gt;"",#REF!,""),"")</f>
        <v>#REF!</v>
      </c>
      <c r="AV219">
        <v>42</v>
      </c>
      <c r="AW219" s="359"/>
    </row>
    <row r="220" spans="18:49" ht="12.75" hidden="1" customHeight="1">
      <c r="R220">
        <f t="shared" si="7"/>
        <v>1</v>
      </c>
      <c r="S220" s="356" t="e">
        <f t="shared" si="2"/>
        <v>#REF!</v>
      </c>
      <c r="T220" s="454" t="e">
        <f>IF($B$38="P",IF(#REF!&lt;&gt;"",#REF!,""),"")</f>
        <v>#REF!</v>
      </c>
      <c r="U220" s="454" t="e">
        <f>IF($B$38="P",IF(#REF!&lt;&gt;"",ABS(#REF!),""),"")</f>
        <v>#REF!</v>
      </c>
      <c r="V220" s="454" t="e">
        <f>IF($B$38="P",IF(#REF!&lt;&gt;"",#REF!,""),"")</f>
        <v>#REF!</v>
      </c>
      <c r="W220" s="454" t="e">
        <f>IF($B$38="P",IF(#REF!&lt;&gt;"",#REF!,""),"")</f>
        <v>#REF!</v>
      </c>
      <c r="Y220">
        <v>43</v>
      </c>
      <c r="AB220">
        <f t="shared" si="8"/>
        <v>1</v>
      </c>
      <c r="AC220" s="356" t="e">
        <f t="shared" si="6"/>
        <v>#REF!</v>
      </c>
      <c r="AD220" s="454" t="e">
        <f>IF($B$38="P",IF(#REF!&lt;&gt;"",#REF!,""),"")</f>
        <v>#REF!</v>
      </c>
      <c r="AE220" s="454" t="e">
        <f>IF($B$38="P",IF(#REF!&lt;&gt;"",#REF!,""),"")</f>
        <v>#REF!</v>
      </c>
      <c r="AF220" s="359"/>
      <c r="AG220">
        <v>43</v>
      </c>
      <c r="AQ220">
        <f t="shared" si="9"/>
        <v>1</v>
      </c>
      <c r="AR220" s="356" t="e">
        <f t="shared" si="5"/>
        <v>#REF!</v>
      </c>
      <c r="AS220" s="454" t="e">
        <f>IF($B$38="P",IF(#REF!&lt;&gt;"",#REF!,""),"")</f>
        <v>#REF!</v>
      </c>
      <c r="AT220" s="454" t="e">
        <f>IF($B$38="P",IF(#REF!&lt;&gt;"",#REF!,""),"")</f>
        <v>#REF!</v>
      </c>
      <c r="AV220">
        <v>43</v>
      </c>
      <c r="AW220" s="359"/>
    </row>
    <row r="221" spans="18:49" ht="12.75" hidden="1" customHeight="1">
      <c r="R221">
        <f t="shared" si="7"/>
        <v>1</v>
      </c>
      <c r="S221" s="356" t="e">
        <f t="shared" si="2"/>
        <v>#REF!</v>
      </c>
      <c r="T221" s="454" t="e">
        <f>IF($B$38="P",IF(#REF!&lt;&gt;"",#REF!,""),"")</f>
        <v>#REF!</v>
      </c>
      <c r="U221" s="454" t="e">
        <f>IF($B$38="P",IF(#REF!&lt;&gt;"",ABS(#REF!),""),"")</f>
        <v>#REF!</v>
      </c>
      <c r="V221" s="454" t="e">
        <f>IF($B$38="P",IF(#REF!&lt;&gt;"",#REF!,""),"")</f>
        <v>#REF!</v>
      </c>
      <c r="W221" s="454" t="e">
        <f>IF($B$38="P",IF(#REF!&lt;&gt;"",#REF!,""),"")</f>
        <v>#REF!</v>
      </c>
      <c r="Y221">
        <v>44</v>
      </c>
      <c r="AB221">
        <f t="shared" si="8"/>
        <v>1</v>
      </c>
      <c r="AC221" s="356" t="e">
        <f t="shared" si="6"/>
        <v>#REF!</v>
      </c>
      <c r="AD221" s="454" t="e">
        <f>IF($B$38="P",IF(#REF!&lt;&gt;"",#REF!,""),"")</f>
        <v>#REF!</v>
      </c>
      <c r="AE221" s="454" t="e">
        <f>IF($B$38="P",IF(#REF!&lt;&gt;"",#REF!,""),"")</f>
        <v>#REF!</v>
      </c>
      <c r="AF221" s="359"/>
      <c r="AG221">
        <v>44</v>
      </c>
      <c r="AQ221">
        <f t="shared" si="9"/>
        <v>1</v>
      </c>
      <c r="AR221" s="356" t="e">
        <f t="shared" si="5"/>
        <v>#REF!</v>
      </c>
      <c r="AS221" s="454" t="e">
        <f>IF($B$38="P",IF(#REF!&lt;&gt;"",#REF!,""),"")</f>
        <v>#REF!</v>
      </c>
      <c r="AT221" s="454" t="e">
        <f>IF($B$38="P",IF(#REF!&lt;&gt;"",#REF!,""),"")</f>
        <v>#REF!</v>
      </c>
      <c r="AV221">
        <v>44</v>
      </c>
      <c r="AW221" s="359"/>
    </row>
    <row r="222" spans="18:49" ht="12.75" hidden="1" customHeight="1">
      <c r="R222">
        <f t="shared" si="7"/>
        <v>1</v>
      </c>
      <c r="S222" s="356" t="e">
        <f t="shared" si="2"/>
        <v>#REF!</v>
      </c>
      <c r="T222" s="454" t="e">
        <f>IF($B$38="P",IF(#REF!&lt;&gt;"",#REF!,""),"")</f>
        <v>#REF!</v>
      </c>
      <c r="U222" s="454" t="e">
        <f>IF($B$38="P",IF(#REF!&lt;&gt;"",ABS(#REF!),""),"")</f>
        <v>#REF!</v>
      </c>
      <c r="V222" s="454" t="e">
        <f>IF($B$38="P",IF(#REF!&lt;&gt;"",#REF!,""),"")</f>
        <v>#REF!</v>
      </c>
      <c r="W222" s="454" t="e">
        <f>IF($B$38="P",IF(#REF!&lt;&gt;"",#REF!,""),"")</f>
        <v>#REF!</v>
      </c>
      <c r="Y222">
        <v>45</v>
      </c>
      <c r="AB222">
        <f t="shared" si="8"/>
        <v>1</v>
      </c>
      <c r="AC222" s="356" t="e">
        <f t="shared" si="6"/>
        <v>#REF!</v>
      </c>
      <c r="AD222" s="454" t="e">
        <f>IF($B$38="P",IF(#REF!&lt;&gt;"",#REF!,""),"")</f>
        <v>#REF!</v>
      </c>
      <c r="AE222" s="454" t="e">
        <f>IF($B$38="P",IF(#REF!&lt;&gt;"",#REF!,""),"")</f>
        <v>#REF!</v>
      </c>
      <c r="AF222" s="359"/>
      <c r="AG222">
        <v>45</v>
      </c>
      <c r="AQ222">
        <f t="shared" si="9"/>
        <v>1</v>
      </c>
      <c r="AR222" s="356" t="e">
        <f t="shared" si="5"/>
        <v>#REF!</v>
      </c>
      <c r="AS222" s="454" t="e">
        <f>IF($B$38="P",IF(#REF!&lt;&gt;"",#REF!,""),"")</f>
        <v>#REF!</v>
      </c>
      <c r="AT222" s="454" t="e">
        <f>IF($B$38="P",IF(#REF!&lt;&gt;"",#REF!,""),"")</f>
        <v>#REF!</v>
      </c>
      <c r="AV222">
        <v>45</v>
      </c>
      <c r="AW222" s="359"/>
    </row>
    <row r="223" spans="18:49" ht="12.75" hidden="1" customHeight="1">
      <c r="R223">
        <f t="shared" si="7"/>
        <v>1</v>
      </c>
      <c r="S223" s="356" t="e">
        <f t="shared" si="2"/>
        <v>#REF!</v>
      </c>
      <c r="T223" s="454" t="e">
        <f>IF($B$38="P",IF(#REF!&lt;&gt;"",#REF!,""),"")</f>
        <v>#REF!</v>
      </c>
      <c r="U223" s="454" t="e">
        <f>IF($B$38="P",IF(#REF!&lt;&gt;"",ABS(#REF!),""),"")</f>
        <v>#REF!</v>
      </c>
      <c r="V223" s="454" t="e">
        <f>IF($B$38="P",IF(#REF!&lt;&gt;"",#REF!,""),"")</f>
        <v>#REF!</v>
      </c>
      <c r="W223" s="454" t="e">
        <f>IF($B$38="P",IF(#REF!&lt;&gt;"",#REF!,""),"")</f>
        <v>#REF!</v>
      </c>
      <c r="Y223">
        <v>46</v>
      </c>
      <c r="AB223">
        <f t="shared" si="8"/>
        <v>1</v>
      </c>
      <c r="AC223" s="356" t="e">
        <f t="shared" si="6"/>
        <v>#REF!</v>
      </c>
      <c r="AD223" s="454" t="e">
        <f>IF($B$38="P",IF(#REF!&lt;&gt;"",#REF!,""),"")</f>
        <v>#REF!</v>
      </c>
      <c r="AE223" s="454" t="e">
        <f>IF($B$38="P",IF(#REF!&lt;&gt;"",#REF!,""),"")</f>
        <v>#REF!</v>
      </c>
      <c r="AF223" s="359"/>
      <c r="AG223">
        <v>46</v>
      </c>
      <c r="AQ223">
        <f t="shared" si="9"/>
        <v>1</v>
      </c>
      <c r="AR223" s="356" t="e">
        <f t="shared" si="5"/>
        <v>#REF!</v>
      </c>
      <c r="AS223" s="454" t="e">
        <f>IF($B$38="P",IF(#REF!&lt;&gt;"",#REF!,""),"")</f>
        <v>#REF!</v>
      </c>
      <c r="AT223" s="454" t="e">
        <f>IF($B$38="P",IF(#REF!&lt;&gt;"",#REF!,""),"")</f>
        <v>#REF!</v>
      </c>
      <c r="AV223">
        <v>46</v>
      </c>
      <c r="AW223" s="359"/>
    </row>
    <row r="224" spans="18:49" ht="12.75" hidden="1" customHeight="1">
      <c r="R224">
        <f t="shared" si="7"/>
        <v>1</v>
      </c>
      <c r="S224" s="356" t="e">
        <f t="shared" si="2"/>
        <v>#REF!</v>
      </c>
      <c r="T224" s="454" t="e">
        <f>IF($B$38="P",IF(#REF!&lt;&gt;"",#REF!,""),"")</f>
        <v>#REF!</v>
      </c>
      <c r="U224" s="454" t="e">
        <f>IF($B$38="P",IF(#REF!&lt;&gt;"",ABS(#REF!),""),"")</f>
        <v>#REF!</v>
      </c>
      <c r="V224" s="454" t="e">
        <f>IF($B$38="P",IF(#REF!&lt;&gt;"",#REF!,""),"")</f>
        <v>#REF!</v>
      </c>
      <c r="W224" s="454" t="e">
        <f>IF($B$38="P",IF(#REF!&lt;&gt;"",#REF!,""),"")</f>
        <v>#REF!</v>
      </c>
      <c r="Y224">
        <v>47</v>
      </c>
      <c r="AB224">
        <f t="shared" si="8"/>
        <v>1</v>
      </c>
      <c r="AC224" s="356" t="e">
        <f t="shared" si="6"/>
        <v>#REF!</v>
      </c>
      <c r="AD224" s="454" t="e">
        <f>IF($B$38="P",IF(#REF!&lt;&gt;"",#REF!,""),"")</f>
        <v>#REF!</v>
      </c>
      <c r="AE224" s="454" t="e">
        <f>IF($B$38="P",IF(#REF!&lt;&gt;"",#REF!,""),"")</f>
        <v>#REF!</v>
      </c>
      <c r="AF224" s="359"/>
      <c r="AG224">
        <v>47</v>
      </c>
      <c r="AQ224">
        <f t="shared" si="9"/>
        <v>1</v>
      </c>
      <c r="AR224" s="356" t="e">
        <f t="shared" si="5"/>
        <v>#REF!</v>
      </c>
      <c r="AS224" s="454" t="e">
        <f>IF($B$38="P",IF(#REF!&lt;&gt;"",#REF!,""),"")</f>
        <v>#REF!</v>
      </c>
      <c r="AT224" s="454" t="e">
        <f>IF($B$38="P",IF(#REF!&lt;&gt;"",#REF!,""),"")</f>
        <v>#REF!</v>
      </c>
      <c r="AV224">
        <v>47</v>
      </c>
      <c r="AW224" s="359"/>
    </row>
    <row r="225" spans="18:49" ht="12.75" hidden="1" customHeight="1">
      <c r="R225">
        <f t="shared" si="7"/>
        <v>1</v>
      </c>
      <c r="S225" s="356" t="e">
        <f t="shared" si="2"/>
        <v>#REF!</v>
      </c>
      <c r="T225" s="454" t="e">
        <f>IF($B$38="P",IF(#REF!&lt;&gt;"",#REF!,""),"")</f>
        <v>#REF!</v>
      </c>
      <c r="U225" s="454" t="e">
        <f>IF($B$38="P",IF(#REF!&lt;&gt;"",ABS(#REF!),""),"")</f>
        <v>#REF!</v>
      </c>
      <c r="V225" s="454" t="e">
        <f>IF($B$38="P",IF(#REF!&lt;&gt;"",#REF!,""),"")</f>
        <v>#REF!</v>
      </c>
      <c r="W225" s="454" t="e">
        <f>IF($B$38="P",IF(#REF!&lt;&gt;"",#REF!,""),"")</f>
        <v>#REF!</v>
      </c>
      <c r="Y225">
        <v>48</v>
      </c>
      <c r="AB225">
        <f t="shared" si="8"/>
        <v>1</v>
      </c>
      <c r="AC225" s="356" t="e">
        <f t="shared" si="6"/>
        <v>#REF!</v>
      </c>
      <c r="AD225" s="454" t="e">
        <f>IF($B$38="P",IF(#REF!&lt;&gt;"",#REF!,""),"")</f>
        <v>#REF!</v>
      </c>
      <c r="AE225" s="454" t="e">
        <f>IF($B$38="P",IF(#REF!&lt;&gt;"",#REF!,""),"")</f>
        <v>#REF!</v>
      </c>
      <c r="AF225" s="359"/>
      <c r="AG225">
        <v>48</v>
      </c>
      <c r="AQ225">
        <f t="shared" si="9"/>
        <v>1</v>
      </c>
      <c r="AR225" s="356" t="e">
        <f t="shared" si="5"/>
        <v>#REF!</v>
      </c>
      <c r="AS225" s="454" t="e">
        <f>IF($B$38="P",IF(#REF!&lt;&gt;"",#REF!,""),"")</f>
        <v>#REF!</v>
      </c>
      <c r="AT225" s="454" t="e">
        <f>IF($B$38="P",IF(#REF!&lt;&gt;"",#REF!,""),"")</f>
        <v>#REF!</v>
      </c>
      <c r="AV225">
        <v>48</v>
      </c>
      <c r="AW225" s="359"/>
    </row>
    <row r="226" spans="18:49" ht="12.75" hidden="1" customHeight="1">
      <c r="R226">
        <f t="shared" si="7"/>
        <v>1</v>
      </c>
      <c r="S226" s="356" t="e">
        <f t="shared" si="2"/>
        <v>#REF!</v>
      </c>
      <c r="T226" s="454" t="e">
        <f>IF($B$38="P",IF(#REF!&lt;&gt;"",#REF!,""),"")</f>
        <v>#REF!</v>
      </c>
      <c r="U226" s="454" t="e">
        <f>IF($B$38="P",IF(#REF!&lt;&gt;"",ABS(#REF!),""),"")</f>
        <v>#REF!</v>
      </c>
      <c r="V226" s="454" t="e">
        <f>IF($B$38="P",IF(#REF!&lt;&gt;"",#REF!,""),"")</f>
        <v>#REF!</v>
      </c>
      <c r="W226" s="454" t="e">
        <f>IF($B$38="P",IF(#REF!&lt;&gt;"",#REF!,""),"")</f>
        <v>#REF!</v>
      </c>
      <c r="Y226">
        <v>49</v>
      </c>
      <c r="AB226">
        <f t="shared" si="8"/>
        <v>1</v>
      </c>
      <c r="AC226" s="356" t="e">
        <f t="shared" si="6"/>
        <v>#REF!</v>
      </c>
      <c r="AD226" s="454" t="e">
        <f>IF($B$38="P",IF(#REF!&lt;&gt;"",#REF!,""),"")</f>
        <v>#REF!</v>
      </c>
      <c r="AE226" s="454" t="e">
        <f>IF($B$38="P",IF(#REF!&lt;&gt;"",#REF!,""),"")</f>
        <v>#REF!</v>
      </c>
      <c r="AF226" s="359"/>
      <c r="AG226">
        <v>49</v>
      </c>
      <c r="AQ226">
        <f t="shared" si="9"/>
        <v>1</v>
      </c>
      <c r="AR226" s="356" t="e">
        <f t="shared" si="5"/>
        <v>#REF!</v>
      </c>
      <c r="AS226" s="454" t="e">
        <f>IF($B$38="P",IF(#REF!&lt;&gt;"",#REF!,""),"")</f>
        <v>#REF!</v>
      </c>
      <c r="AT226" s="454" t="e">
        <f>IF($B$38="P",IF(#REF!&lt;&gt;"",#REF!,""),"")</f>
        <v>#REF!</v>
      </c>
      <c r="AV226">
        <v>49</v>
      </c>
      <c r="AW226" s="359"/>
    </row>
    <row r="227" spans="18:49" ht="12.75" hidden="1" customHeight="1">
      <c r="R227">
        <f t="shared" si="7"/>
        <v>1</v>
      </c>
      <c r="S227" s="356" t="e">
        <f t="shared" si="2"/>
        <v>#REF!</v>
      </c>
      <c r="T227" s="454" t="e">
        <f>IF($B$38="P",IF(#REF!&lt;&gt;"",#REF!,""),"")</f>
        <v>#REF!</v>
      </c>
      <c r="U227" s="454" t="e">
        <f>IF($B$38="P",IF(#REF!&lt;&gt;"",ABS(#REF!),""),"")</f>
        <v>#REF!</v>
      </c>
      <c r="V227" s="454" t="e">
        <f>IF($B$38="P",IF(#REF!&lt;&gt;"",#REF!,""),"")</f>
        <v>#REF!</v>
      </c>
      <c r="W227" s="454" t="e">
        <f>IF($B$38="P",IF(#REF!&lt;&gt;"",#REF!,""),"")</f>
        <v>#REF!</v>
      </c>
      <c r="Y227">
        <v>50</v>
      </c>
      <c r="AB227">
        <f t="shared" si="8"/>
        <v>1</v>
      </c>
      <c r="AC227" s="356" t="e">
        <f t="shared" si="6"/>
        <v>#REF!</v>
      </c>
      <c r="AD227" s="454" t="e">
        <f>IF($B$38="P",IF(#REF!&lt;&gt;"",#REF!,""),"")</f>
        <v>#REF!</v>
      </c>
      <c r="AE227" s="454" t="e">
        <f>IF($B$38="P",IF(#REF!&lt;&gt;"",#REF!,""),"")</f>
        <v>#REF!</v>
      </c>
      <c r="AF227" s="359"/>
      <c r="AG227">
        <v>50</v>
      </c>
      <c r="AQ227">
        <f t="shared" si="9"/>
        <v>1</v>
      </c>
      <c r="AR227" s="356" t="e">
        <f t="shared" si="5"/>
        <v>#REF!</v>
      </c>
      <c r="AS227" s="454" t="e">
        <f>IF($B$38="P",IF(#REF!&lt;&gt;"",#REF!,""),"")</f>
        <v>#REF!</v>
      </c>
      <c r="AT227" s="454" t="e">
        <f>IF($B$38="P",IF(#REF!&lt;&gt;"",#REF!,""),"")</f>
        <v>#REF!</v>
      </c>
      <c r="AV227">
        <v>50</v>
      </c>
      <c r="AW227" s="359"/>
    </row>
    <row r="228" spans="18:49" ht="12.75" hidden="1" customHeight="1">
      <c r="R228">
        <f t="shared" si="7"/>
        <v>1</v>
      </c>
      <c r="S228" s="356" t="e">
        <f t="shared" si="2"/>
        <v>#REF!</v>
      </c>
      <c r="T228" s="454" t="e">
        <f>IF($B$38="P",IF(#REF!&lt;&gt;"",#REF!,""),"")</f>
        <v>#REF!</v>
      </c>
      <c r="U228" s="454" t="e">
        <f>IF($B$38="P",IF(#REF!&lt;&gt;"",ABS(#REF!),""),"")</f>
        <v>#REF!</v>
      </c>
      <c r="V228" s="454" t="e">
        <f>IF($B$38="P",IF(#REF!&lt;&gt;"",#REF!,""),"")</f>
        <v>#REF!</v>
      </c>
      <c r="W228" s="454" t="e">
        <f>IF($B$38="P",IF(#REF!&lt;&gt;"",#REF!,""),"")</f>
        <v>#REF!</v>
      </c>
      <c r="Y228">
        <v>51</v>
      </c>
      <c r="AB228">
        <f t="shared" si="8"/>
        <v>1</v>
      </c>
      <c r="AC228" s="356" t="e">
        <f t="shared" si="6"/>
        <v>#REF!</v>
      </c>
      <c r="AD228" s="454" t="e">
        <f>IF($B$38="P",IF(#REF!&lt;&gt;"",#REF!,""),"")</f>
        <v>#REF!</v>
      </c>
      <c r="AE228" s="454" t="e">
        <f>IF($B$38="P",IF(#REF!&lt;&gt;"",#REF!,""),"")</f>
        <v>#REF!</v>
      </c>
      <c r="AF228" s="359"/>
      <c r="AG228">
        <v>51</v>
      </c>
      <c r="AQ228">
        <f t="shared" si="9"/>
        <v>1</v>
      </c>
      <c r="AR228" s="356" t="e">
        <f t="shared" si="5"/>
        <v>#REF!</v>
      </c>
      <c r="AS228" s="454" t="e">
        <f>IF($B$38="P",IF(#REF!&lt;&gt;"",#REF!,""),"")</f>
        <v>#REF!</v>
      </c>
      <c r="AT228" s="454" t="e">
        <f>IF($B$38="P",IF(#REF!&lt;&gt;"",#REF!,""),"")</f>
        <v>#REF!</v>
      </c>
      <c r="AV228">
        <v>51</v>
      </c>
      <c r="AW228" s="359"/>
    </row>
    <row r="229" spans="18:49" ht="12.75" hidden="1" customHeight="1">
      <c r="R229">
        <f t="shared" si="7"/>
        <v>1</v>
      </c>
      <c r="S229" s="356" t="e">
        <f t="shared" si="2"/>
        <v>#REF!</v>
      </c>
      <c r="T229" s="454" t="e">
        <f>IF($B$38="P",IF(#REF!&lt;&gt;"",#REF!,""),"")</f>
        <v>#REF!</v>
      </c>
      <c r="U229" s="454" t="e">
        <f>IF($B$38="P",IF(#REF!&lt;&gt;"",ABS(#REF!),""),"")</f>
        <v>#REF!</v>
      </c>
      <c r="V229" s="454" t="e">
        <f>IF($B$38="P",IF(#REF!&lt;&gt;"",#REF!,""),"")</f>
        <v>#REF!</v>
      </c>
      <c r="W229" s="454" t="e">
        <f>IF($B$38="P",IF(#REF!&lt;&gt;"",#REF!,""),"")</f>
        <v>#REF!</v>
      </c>
      <c r="Y229">
        <v>52</v>
      </c>
      <c r="AB229">
        <f t="shared" si="8"/>
        <v>1</v>
      </c>
      <c r="AC229" s="356" t="e">
        <f t="shared" si="6"/>
        <v>#REF!</v>
      </c>
      <c r="AD229" s="454" t="e">
        <f>IF($B$38="P",IF(#REF!&lt;&gt;"",#REF!,""),"")</f>
        <v>#REF!</v>
      </c>
      <c r="AE229" s="454" t="e">
        <f>IF($B$38="P",IF(#REF!&lt;&gt;"",#REF!,""),"")</f>
        <v>#REF!</v>
      </c>
      <c r="AF229" s="359"/>
      <c r="AG229">
        <v>52</v>
      </c>
      <c r="AQ229">
        <f t="shared" si="9"/>
        <v>1</v>
      </c>
      <c r="AR229" s="356" t="e">
        <f t="shared" si="5"/>
        <v>#REF!</v>
      </c>
      <c r="AS229" s="454" t="e">
        <f>IF($B$38="P",IF(#REF!&lt;&gt;"",#REF!,""),"")</f>
        <v>#REF!</v>
      </c>
      <c r="AT229" s="454" t="e">
        <f>IF($B$38="P",IF(#REF!&lt;&gt;"",#REF!,""),"")</f>
        <v>#REF!</v>
      </c>
      <c r="AV229">
        <v>52</v>
      </c>
      <c r="AW229" s="359"/>
    </row>
    <row r="230" spans="18:49" ht="12.75" hidden="1" customHeight="1">
      <c r="R230">
        <f t="shared" si="7"/>
        <v>1</v>
      </c>
      <c r="S230" s="356" t="e">
        <f t="shared" si="2"/>
        <v>#REF!</v>
      </c>
      <c r="T230" s="454" t="e">
        <f>IF($B$38="P",IF(#REF!&lt;&gt;"",#REF!,""),"")</f>
        <v>#REF!</v>
      </c>
      <c r="U230" s="454" t="e">
        <f>IF($B$38="P",IF(#REF!&lt;&gt;"",ABS(#REF!),""),"")</f>
        <v>#REF!</v>
      </c>
      <c r="V230" s="454" t="e">
        <f>IF($B$38="P",IF(#REF!&lt;&gt;"",#REF!,""),"")</f>
        <v>#REF!</v>
      </c>
      <c r="W230" s="454" t="e">
        <f>IF($B$38="P",IF(#REF!&lt;&gt;"",#REF!,""),"")</f>
        <v>#REF!</v>
      </c>
      <c r="Y230">
        <v>53</v>
      </c>
      <c r="AB230">
        <f t="shared" si="8"/>
        <v>1</v>
      </c>
      <c r="AC230" s="356" t="e">
        <f t="shared" si="6"/>
        <v>#REF!</v>
      </c>
      <c r="AD230" s="454" t="e">
        <f>IF($B$38="P",IF(#REF!&lt;&gt;"",#REF!,""),"")</f>
        <v>#REF!</v>
      </c>
      <c r="AE230" s="454" t="e">
        <f>IF($B$38="P",IF(#REF!&lt;&gt;"",#REF!,""),"")</f>
        <v>#REF!</v>
      </c>
      <c r="AF230" s="359"/>
      <c r="AG230">
        <v>53</v>
      </c>
      <c r="AQ230">
        <f t="shared" si="9"/>
        <v>1</v>
      </c>
      <c r="AR230" s="356" t="e">
        <f t="shared" si="5"/>
        <v>#REF!</v>
      </c>
      <c r="AS230" s="454" t="e">
        <f>IF($B$38="P",IF(#REF!&lt;&gt;"",#REF!,""),"")</f>
        <v>#REF!</v>
      </c>
      <c r="AT230" s="454" t="e">
        <f>IF($B$38="P",IF(#REF!&lt;&gt;"",#REF!,""),"")</f>
        <v>#REF!</v>
      </c>
      <c r="AV230">
        <v>53</v>
      </c>
      <c r="AW230" s="359"/>
    </row>
    <row r="231" spans="18:49" ht="12.75" hidden="1" customHeight="1">
      <c r="R231">
        <f t="shared" si="7"/>
        <v>1</v>
      </c>
      <c r="S231" s="356" t="e">
        <f t="shared" si="2"/>
        <v>#REF!</v>
      </c>
      <c r="T231" s="454" t="e">
        <f>IF($B$38="P",IF(#REF!&lt;&gt;"",#REF!,""),"")</f>
        <v>#REF!</v>
      </c>
      <c r="U231" s="454" t="e">
        <f>IF($B$38="P",IF(#REF!&lt;&gt;"",ABS(#REF!),""),"")</f>
        <v>#REF!</v>
      </c>
      <c r="V231" s="454" t="e">
        <f>IF($B$38="P",IF(#REF!&lt;&gt;"",#REF!,""),"")</f>
        <v>#REF!</v>
      </c>
      <c r="W231" s="454" t="e">
        <f>IF($B$38="P",IF(#REF!&lt;&gt;"",#REF!,""),"")</f>
        <v>#REF!</v>
      </c>
      <c r="Y231">
        <v>54</v>
      </c>
      <c r="AB231">
        <f t="shared" si="8"/>
        <v>1</v>
      </c>
      <c r="AC231" s="356" t="e">
        <f t="shared" si="6"/>
        <v>#REF!</v>
      </c>
      <c r="AD231" s="454" t="e">
        <f>IF($B$38="P",IF(#REF!&lt;&gt;"",#REF!,""),"")</f>
        <v>#REF!</v>
      </c>
      <c r="AE231" s="454" t="e">
        <f>IF($B$38="P",IF(#REF!&lt;&gt;"",#REF!,""),"")</f>
        <v>#REF!</v>
      </c>
      <c r="AF231" s="359"/>
      <c r="AG231">
        <v>54</v>
      </c>
      <c r="AQ231">
        <f t="shared" si="9"/>
        <v>1</v>
      </c>
      <c r="AR231" s="356" t="e">
        <f t="shared" si="5"/>
        <v>#REF!</v>
      </c>
      <c r="AS231" s="454" t="e">
        <f>IF($B$38="P",IF(#REF!&lt;&gt;"",#REF!,""),"")</f>
        <v>#REF!</v>
      </c>
      <c r="AT231" s="454" t="e">
        <f>IF($B$38="P",IF(#REF!&lt;&gt;"",#REF!,""),"")</f>
        <v>#REF!</v>
      </c>
      <c r="AV231">
        <v>54</v>
      </c>
      <c r="AW231" s="359"/>
    </row>
    <row r="232" spans="18:49" ht="12.75" hidden="1" customHeight="1">
      <c r="R232">
        <f t="shared" si="7"/>
        <v>1</v>
      </c>
      <c r="S232" s="356" t="e">
        <f t="shared" si="2"/>
        <v>#REF!</v>
      </c>
      <c r="T232" s="454" t="e">
        <f>IF($B$38="P",IF(#REF!&lt;&gt;"",#REF!,""),"")</f>
        <v>#REF!</v>
      </c>
      <c r="U232" s="454" t="e">
        <f>IF($B$38="P",IF(#REF!&lt;&gt;"",ABS(#REF!),""),"")</f>
        <v>#REF!</v>
      </c>
      <c r="V232" s="454" t="e">
        <f>IF($B$38="P",IF(#REF!&lt;&gt;"",#REF!,""),"")</f>
        <v>#REF!</v>
      </c>
      <c r="W232" s="454" t="e">
        <f>IF($B$38="P",IF(#REF!&lt;&gt;"",#REF!,""),"")</f>
        <v>#REF!</v>
      </c>
      <c r="Y232">
        <v>55</v>
      </c>
      <c r="AB232">
        <f t="shared" si="8"/>
        <v>1</v>
      </c>
      <c r="AC232" s="356" t="e">
        <f t="shared" si="6"/>
        <v>#REF!</v>
      </c>
      <c r="AD232" s="454" t="e">
        <f>IF($B$38="P",IF(#REF!&lt;&gt;"",#REF!,""),"")</f>
        <v>#REF!</v>
      </c>
      <c r="AE232" s="454" t="e">
        <f>IF($B$38="P",IF(#REF!&lt;&gt;"",#REF!,""),"")</f>
        <v>#REF!</v>
      </c>
      <c r="AF232" s="359"/>
      <c r="AG232">
        <v>55</v>
      </c>
      <c r="AQ232">
        <f t="shared" si="9"/>
        <v>1</v>
      </c>
      <c r="AR232" s="356" t="e">
        <f t="shared" si="5"/>
        <v>#REF!</v>
      </c>
      <c r="AS232" s="454" t="e">
        <f>IF($B$38="P",IF(#REF!&lt;&gt;"",#REF!,""),"")</f>
        <v>#REF!</v>
      </c>
      <c r="AT232" s="454" t="e">
        <f>IF($B$38="P",IF(#REF!&lt;&gt;"",#REF!,""),"")</f>
        <v>#REF!</v>
      </c>
      <c r="AV232">
        <v>55</v>
      </c>
      <c r="AW232" s="359"/>
    </row>
    <row r="233" spans="18:49" ht="12.75" hidden="1" customHeight="1">
      <c r="R233">
        <f t="shared" si="7"/>
        <v>1</v>
      </c>
      <c r="S233" s="356" t="e">
        <f t="shared" si="2"/>
        <v>#REF!</v>
      </c>
      <c r="T233" s="454" t="e">
        <f>IF($B$38="P",IF(#REF!&lt;&gt;"",#REF!,""),"")</f>
        <v>#REF!</v>
      </c>
      <c r="U233" s="454" t="e">
        <f>IF($B$38="P",IF(#REF!&lt;&gt;"",ABS(#REF!),""),"")</f>
        <v>#REF!</v>
      </c>
      <c r="V233" s="454" t="e">
        <f>IF($B$38="P",IF(#REF!&lt;&gt;"",#REF!,""),"")</f>
        <v>#REF!</v>
      </c>
      <c r="W233" s="454" t="e">
        <f>IF($B$38="P",IF(#REF!&lt;&gt;"",#REF!,""),"")</f>
        <v>#REF!</v>
      </c>
      <c r="Y233">
        <v>56</v>
      </c>
      <c r="AB233">
        <f t="shared" si="8"/>
        <v>1</v>
      </c>
      <c r="AC233" s="356" t="e">
        <f t="shared" si="6"/>
        <v>#REF!</v>
      </c>
      <c r="AD233" s="454" t="e">
        <f>IF($B$38="P",IF(#REF!&lt;&gt;"",#REF!,""),"")</f>
        <v>#REF!</v>
      </c>
      <c r="AE233" s="454" t="e">
        <f>IF($B$38="P",IF(#REF!&lt;&gt;"",#REF!,""),"")</f>
        <v>#REF!</v>
      </c>
      <c r="AF233" s="359"/>
      <c r="AG233">
        <v>56</v>
      </c>
      <c r="AQ233">
        <f t="shared" si="9"/>
        <v>1</v>
      </c>
      <c r="AR233" s="356" t="e">
        <f t="shared" si="5"/>
        <v>#REF!</v>
      </c>
      <c r="AS233" s="454" t="e">
        <f>IF($B$38="P",IF(#REF!&lt;&gt;"",#REF!,""),"")</f>
        <v>#REF!</v>
      </c>
      <c r="AT233" s="454" t="e">
        <f>IF($B$38="P",IF(#REF!&lt;&gt;"",#REF!,""),"")</f>
        <v>#REF!</v>
      </c>
      <c r="AV233">
        <v>56</v>
      </c>
      <c r="AW233" s="359"/>
    </row>
    <row r="234" spans="18:49" ht="12.75" hidden="1" customHeight="1">
      <c r="R234">
        <f t="shared" si="7"/>
        <v>1</v>
      </c>
      <c r="S234" s="356" t="e">
        <f t="shared" si="2"/>
        <v>#REF!</v>
      </c>
      <c r="T234" s="454" t="e">
        <f>IF($B$38="P",IF(#REF!&lt;&gt;"",#REF!,""),"")</f>
        <v>#REF!</v>
      </c>
      <c r="U234" s="454" t="e">
        <f>IF($B$38="P",IF(#REF!&lt;&gt;"",ABS(#REF!),""),"")</f>
        <v>#REF!</v>
      </c>
      <c r="V234" s="454" t="e">
        <f>IF($B$38="P",IF(#REF!&lt;&gt;"",#REF!,""),"")</f>
        <v>#REF!</v>
      </c>
      <c r="W234" s="454" t="e">
        <f>IF($B$38="P",IF(#REF!&lt;&gt;"",#REF!,""),"")</f>
        <v>#REF!</v>
      </c>
      <c r="Y234">
        <v>57</v>
      </c>
      <c r="AD234" s="354"/>
      <c r="AE234" s="354"/>
      <c r="AF234" s="359"/>
      <c r="AG234" s="359"/>
      <c r="AH234" s="359"/>
      <c r="AQ234">
        <f t="shared" si="9"/>
        <v>1</v>
      </c>
      <c r="AR234" s="356" t="e">
        <f t="shared" si="5"/>
        <v>#REF!</v>
      </c>
      <c r="AS234" s="454" t="e">
        <f>IF($B$38="P",IF(#REF!&lt;&gt;"",#REF!,""),"")</f>
        <v>#REF!</v>
      </c>
      <c r="AT234" s="454" t="e">
        <f>IF($B$38="P",IF(#REF!&lt;&gt;"",#REF!,""),"")</f>
        <v>#REF!</v>
      </c>
      <c r="AV234">
        <v>57</v>
      </c>
      <c r="AW234" s="359"/>
    </row>
    <row r="235" spans="18:49" ht="12.75" hidden="1" customHeight="1">
      <c r="R235">
        <f t="shared" si="7"/>
        <v>1</v>
      </c>
      <c r="S235" s="356" t="e">
        <f t="shared" si="2"/>
        <v>#REF!</v>
      </c>
      <c r="T235" s="454" t="e">
        <f>IF($B$38="P",IF(#REF!&lt;&gt;"",#REF!,""),"")</f>
        <v>#REF!</v>
      </c>
      <c r="U235" s="454" t="e">
        <f>IF($B$38="P",IF(#REF!&lt;&gt;"",ABS(#REF!),""),"")</f>
        <v>#REF!</v>
      </c>
      <c r="V235" s="454" t="e">
        <f>IF($B$38="P",IF(#REF!&lt;&gt;"",#REF!,""),"")</f>
        <v>#REF!</v>
      </c>
      <c r="W235" s="454" t="e">
        <f>IF($B$38="P",IF(#REF!&lt;&gt;"",#REF!,""),"")</f>
        <v>#REF!</v>
      </c>
      <c r="Y235">
        <v>58</v>
      </c>
      <c r="AD235" s="354"/>
      <c r="AE235" s="354"/>
      <c r="AF235" s="359"/>
      <c r="AG235" s="359"/>
      <c r="AH235" s="359"/>
      <c r="AQ235">
        <f t="shared" si="9"/>
        <v>1</v>
      </c>
      <c r="AR235" s="356" t="e">
        <f t="shared" si="5"/>
        <v>#REF!</v>
      </c>
      <c r="AS235" s="454" t="e">
        <f>IF($B$38="P",IF(#REF!&lt;&gt;"",#REF!,""),"")</f>
        <v>#REF!</v>
      </c>
      <c r="AT235" s="454" t="e">
        <f>IF($B$38="P",IF(#REF!&lt;&gt;"",#REF!,""),"")</f>
        <v>#REF!</v>
      </c>
      <c r="AV235">
        <v>58</v>
      </c>
      <c r="AW235" s="359"/>
    </row>
    <row r="236" spans="18:49" ht="12.75" hidden="1" customHeight="1">
      <c r="R236">
        <f t="shared" si="7"/>
        <v>1</v>
      </c>
      <c r="S236" s="356" t="e">
        <f t="shared" si="2"/>
        <v>#REF!</v>
      </c>
      <c r="T236" s="454" t="e">
        <f>IF($B$38="P",IF(#REF!&lt;&gt;"",#REF!,""),"")</f>
        <v>#REF!</v>
      </c>
      <c r="U236" s="454" t="e">
        <f>IF($B$38="P",IF(#REF!&lt;&gt;"",ABS(#REF!),""),"")</f>
        <v>#REF!</v>
      </c>
      <c r="V236" s="454" t="e">
        <f>IF($B$38="P",IF(#REF!&lt;&gt;"",#REF!,""),"")</f>
        <v>#REF!</v>
      </c>
      <c r="W236" s="454" t="e">
        <f>IF($B$38="P",IF(#REF!&lt;&gt;"",#REF!,""),"")</f>
        <v>#REF!</v>
      </c>
      <c r="Y236">
        <v>59</v>
      </c>
      <c r="AD236" s="354"/>
      <c r="AE236" s="354"/>
      <c r="AF236" s="359"/>
      <c r="AG236" s="359"/>
      <c r="AH236" s="359"/>
      <c r="AQ236" s="354">
        <f t="shared" ref="AQ236:AQ243" si="10">$AP$178</f>
        <v>1</v>
      </c>
      <c r="AR236" s="356" t="e">
        <f t="shared" si="5"/>
        <v>#REF!</v>
      </c>
      <c r="AS236" s="454" t="e">
        <f>IF($B$38="P",IF(#REF!&lt;&gt;"",#REF!,""),"")</f>
        <v>#REF!</v>
      </c>
      <c r="AT236" s="454" t="e">
        <f>IF($B$38="P",IF(#REF!&lt;&gt;"",#REF!,""),"")</f>
        <v>#REF!</v>
      </c>
      <c r="AV236">
        <v>59</v>
      </c>
      <c r="AW236" s="359"/>
    </row>
    <row r="237" spans="18:49" ht="12.75" hidden="1" customHeight="1">
      <c r="R237">
        <f t="shared" si="7"/>
        <v>1</v>
      </c>
      <c r="S237" s="356" t="e">
        <f t="shared" si="2"/>
        <v>#REF!</v>
      </c>
      <c r="T237" s="454" t="e">
        <f>IF($B$38="P",IF(#REF!&lt;&gt;"",#REF!,""),"")</f>
        <v>#REF!</v>
      </c>
      <c r="U237" s="454" t="e">
        <f>IF($B$38="P",IF(#REF!&lt;&gt;"",ABS(#REF!),""),"")</f>
        <v>#REF!</v>
      </c>
      <c r="V237" s="454" t="e">
        <f>IF($B$38="P",IF(#REF!&lt;&gt;"",#REF!,""),"")</f>
        <v>#REF!</v>
      </c>
      <c r="W237" s="454" t="e">
        <f>IF($B$38="P",IF(#REF!&lt;&gt;"",#REF!,""),"")</f>
        <v>#REF!</v>
      </c>
      <c r="Y237">
        <v>60</v>
      </c>
      <c r="AD237" s="354"/>
      <c r="AE237" s="354"/>
      <c r="AF237" s="359"/>
      <c r="AG237" s="359"/>
      <c r="AH237" s="359"/>
      <c r="AQ237" s="354">
        <f t="shared" si="10"/>
        <v>1</v>
      </c>
      <c r="AR237" s="356" t="e">
        <f t="shared" si="5"/>
        <v>#REF!</v>
      </c>
      <c r="AS237" s="454" t="e">
        <f>IF($B$38="P",IF(#REF!&lt;&gt;"",#REF!,""),"")</f>
        <v>#REF!</v>
      </c>
      <c r="AT237" s="454" t="e">
        <f>IF($B$38="P",IF(#REF!&lt;&gt;"",#REF!,""),"")</f>
        <v>#REF!</v>
      </c>
      <c r="AV237">
        <v>60</v>
      </c>
      <c r="AW237" s="359"/>
    </row>
    <row r="238" spans="18:49" ht="12.75" hidden="1" customHeight="1">
      <c r="R238">
        <f t="shared" si="7"/>
        <v>1</v>
      </c>
      <c r="S238" s="356" t="e">
        <f t="shared" si="2"/>
        <v>#REF!</v>
      </c>
      <c r="T238" s="454" t="e">
        <f>IF($B$38="P",IF(#REF!&lt;&gt;"",#REF!,""),"")</f>
        <v>#REF!</v>
      </c>
      <c r="U238" s="454" t="e">
        <f>IF($B$38="P",IF(#REF!&lt;&gt;"",ABS(#REF!),""),"")</f>
        <v>#REF!</v>
      </c>
      <c r="V238" s="454" t="e">
        <f>IF($B$38="P",IF(#REF!&lt;&gt;"",#REF!,""),"")</f>
        <v>#REF!</v>
      </c>
      <c r="W238" s="454" t="e">
        <f>IF($B$38="P",IF(#REF!&lt;&gt;"",#REF!,""),"")</f>
        <v>#REF!</v>
      </c>
      <c r="Y238">
        <v>61</v>
      </c>
      <c r="AD238" s="354"/>
      <c r="AE238" s="354"/>
      <c r="AF238" s="359"/>
      <c r="AG238" s="359"/>
      <c r="AH238" s="359"/>
      <c r="AQ238" s="354">
        <f t="shared" si="10"/>
        <v>1</v>
      </c>
      <c r="AR238" s="356" t="e">
        <f t="shared" si="5"/>
        <v>#REF!</v>
      </c>
      <c r="AS238" s="454" t="e">
        <f>IF($B$38="P",IF(#REF!&lt;&gt;"",#REF!,""),"")</f>
        <v>#REF!</v>
      </c>
      <c r="AT238" s="454" t="e">
        <f>IF($B$38="P",IF(#REF!&lt;&gt;"",#REF!,""),"")</f>
        <v>#REF!</v>
      </c>
      <c r="AV238">
        <v>61</v>
      </c>
      <c r="AW238" s="359"/>
    </row>
    <row r="239" spans="18:49" ht="12.75" hidden="1" customHeight="1">
      <c r="R239">
        <f t="shared" si="7"/>
        <v>1</v>
      </c>
      <c r="S239" s="356" t="e">
        <f t="shared" si="2"/>
        <v>#REF!</v>
      </c>
      <c r="T239" s="454" t="e">
        <f>IF($B$38="P",IF(#REF!&lt;&gt;"",#REF!,""),"")</f>
        <v>#REF!</v>
      </c>
      <c r="U239" s="454" t="e">
        <f>IF($B$38="P",IF(#REF!&lt;&gt;"",ABS(#REF!),""),"")</f>
        <v>#REF!</v>
      </c>
      <c r="V239" s="454" t="e">
        <f>IF($B$38="P",IF(#REF!&lt;&gt;"",#REF!,""),"")</f>
        <v>#REF!</v>
      </c>
      <c r="W239" s="454" t="e">
        <f>IF($B$38="P",IF(#REF!&lt;&gt;"",#REF!,""),"")</f>
        <v>#REF!</v>
      </c>
      <c r="Y239">
        <v>62</v>
      </c>
      <c r="AQ239" s="354">
        <f t="shared" si="10"/>
        <v>1</v>
      </c>
      <c r="AR239" s="356" t="e">
        <f t="shared" si="5"/>
        <v>#REF!</v>
      </c>
      <c r="AS239" s="454" t="e">
        <f>IF($B$38="P",IF(#REF!&lt;&gt;"",#REF!,""),"")</f>
        <v>#REF!</v>
      </c>
      <c r="AT239" s="454" t="e">
        <f>IF($B$38="P",IF(#REF!&lt;&gt;"",#REF!,""),"")</f>
        <v>#REF!</v>
      </c>
      <c r="AV239">
        <v>62</v>
      </c>
      <c r="AW239" s="359"/>
    </row>
    <row r="240" spans="18:49" ht="12.75" hidden="1" customHeight="1">
      <c r="R240">
        <f t="shared" si="7"/>
        <v>1</v>
      </c>
      <c r="S240" s="356" t="e">
        <f t="shared" si="2"/>
        <v>#REF!</v>
      </c>
      <c r="T240" s="454" t="e">
        <f>IF($B$38="P",IF(#REF!&lt;&gt;"",#REF!,""),"")</f>
        <v>#REF!</v>
      </c>
      <c r="U240" s="454" t="e">
        <f>IF($B$38="P",IF(#REF!&lt;&gt;"",ABS(#REF!),""),"")</f>
        <v>#REF!</v>
      </c>
      <c r="V240" s="454" t="e">
        <f>IF($B$38="P",IF(#REF!&lt;&gt;"",#REF!,""),"")</f>
        <v>#REF!</v>
      </c>
      <c r="W240" s="454" t="e">
        <f>IF($B$38="P",IF(#REF!&lt;&gt;"",#REF!,""),"")</f>
        <v>#REF!</v>
      </c>
      <c r="Y240">
        <v>63</v>
      </c>
      <c r="AQ240" s="354">
        <f t="shared" si="10"/>
        <v>1</v>
      </c>
      <c r="AR240" s="356" t="e">
        <f t="shared" si="5"/>
        <v>#REF!</v>
      </c>
      <c r="AS240" s="454" t="e">
        <f>IF($B$38="P",IF(#REF!&lt;&gt;"",#REF!,""),"")</f>
        <v>#REF!</v>
      </c>
      <c r="AT240" s="454" t="e">
        <f>IF($B$38="P",IF(#REF!&lt;&gt;"",#REF!,""),"")</f>
        <v>#REF!</v>
      </c>
      <c r="AV240">
        <v>63</v>
      </c>
      <c r="AW240" s="359"/>
    </row>
    <row r="241" spans="18:49" ht="12.75" hidden="1" customHeight="1">
      <c r="R241">
        <f t="shared" si="7"/>
        <v>1</v>
      </c>
      <c r="S241" s="356" t="e">
        <f t="shared" si="2"/>
        <v>#REF!</v>
      </c>
      <c r="T241" s="454" t="e">
        <f>IF($B$38="P",IF(#REF!&lt;&gt;"",#REF!,""),"")</f>
        <v>#REF!</v>
      </c>
      <c r="U241" s="454" t="e">
        <f>IF($B$38="P",IF(#REF!&lt;&gt;"",ABS(#REF!),""),"")</f>
        <v>#REF!</v>
      </c>
      <c r="V241" s="454" t="e">
        <f>IF($B$38="P",IF(#REF!&lt;&gt;"",#REF!,""),"")</f>
        <v>#REF!</v>
      </c>
      <c r="W241" s="454" t="e">
        <f>IF($B$38="P",IF(#REF!&lt;&gt;"",#REF!,""),"")</f>
        <v>#REF!</v>
      </c>
      <c r="Y241">
        <v>64</v>
      </c>
      <c r="AQ241" s="354">
        <f t="shared" si="10"/>
        <v>1</v>
      </c>
      <c r="AR241" s="356" t="e">
        <f t="shared" si="5"/>
        <v>#REF!</v>
      </c>
      <c r="AS241" s="454" t="e">
        <f>IF($B$38="P",IF(#REF!&lt;&gt;"",#REF!,""),"")</f>
        <v>#REF!</v>
      </c>
      <c r="AT241" s="454" t="e">
        <f>IF($B$38="P",IF(#REF!&lt;&gt;"",#REF!,""),"")</f>
        <v>#REF!</v>
      </c>
      <c r="AV241">
        <v>64</v>
      </c>
      <c r="AW241" s="359"/>
    </row>
    <row r="242" spans="18:49" ht="12.75" hidden="1" customHeight="1">
      <c r="R242">
        <f t="shared" si="7"/>
        <v>1</v>
      </c>
      <c r="S242" s="356" t="e">
        <f t="shared" ref="S242:S254" si="11">IF($B$38="P",Y242,IF($B$38="Z",IF(Z242&lt;&gt;"",Z242,""),IF($B$38="M",IF(AA242&lt;&gt;"",AA242,""),Y242)))</f>
        <v>#REF!</v>
      </c>
      <c r="T242" s="454" t="e">
        <f>IF($B$38="P",IF(#REF!&lt;&gt;"",#REF!,""),"")</f>
        <v>#REF!</v>
      </c>
      <c r="U242" s="454" t="e">
        <f>IF($B$38="P",IF(#REF!&lt;&gt;"",ABS(#REF!),""),"")</f>
        <v>#REF!</v>
      </c>
      <c r="V242" s="454" t="e">
        <f>IF($B$38="P",IF(#REF!&lt;&gt;"",#REF!,""),"")</f>
        <v>#REF!</v>
      </c>
      <c r="W242" s="454" t="e">
        <f>IF($B$38="P",IF(#REF!&lt;&gt;"",#REF!,""),"")</f>
        <v>#REF!</v>
      </c>
      <c r="Y242">
        <v>65</v>
      </c>
      <c r="AQ242" s="354">
        <f t="shared" si="10"/>
        <v>1</v>
      </c>
      <c r="AR242" s="356" t="e">
        <f t="shared" ref="AR242:AR243" si="12">IF($B$38="P",AV242,IF($B$38="Z",IF(AW242&lt;&gt;"",AW242,""),IF($B$38="M",IF(AX242&lt;&gt;"",AX242,""),AV242)))</f>
        <v>#REF!</v>
      </c>
      <c r="AS242" s="454" t="e">
        <f>IF($B$38="P",IF(#REF!&lt;&gt;"",#REF!,""),"")</f>
        <v>#REF!</v>
      </c>
      <c r="AT242" s="454" t="e">
        <f>IF($B$38="P",IF(#REF!&lt;&gt;"",#REF!,""),"")</f>
        <v>#REF!</v>
      </c>
      <c r="AV242">
        <v>65</v>
      </c>
      <c r="AW242" s="359"/>
    </row>
    <row r="243" spans="18:49" ht="12.75" hidden="1" customHeight="1">
      <c r="R243">
        <f t="shared" si="7"/>
        <v>1</v>
      </c>
      <c r="S243" s="356" t="e">
        <f t="shared" si="11"/>
        <v>#REF!</v>
      </c>
      <c r="T243" s="454" t="e">
        <f>IF($B$38="P",IF(#REF!&lt;&gt;"",#REF!,""),"")</f>
        <v>#REF!</v>
      </c>
      <c r="U243" s="454" t="e">
        <f>IF($B$38="P",IF(#REF!&lt;&gt;"",ABS(#REF!),""),"")</f>
        <v>#REF!</v>
      </c>
      <c r="V243" s="454" t="e">
        <f>IF($B$38="P",IF(#REF!&lt;&gt;"",#REF!,""),"")</f>
        <v>#REF!</v>
      </c>
      <c r="W243" s="454" t="e">
        <f>IF($B$38="P",IF(#REF!&lt;&gt;"",#REF!,""),"")</f>
        <v>#REF!</v>
      </c>
      <c r="Y243">
        <v>66</v>
      </c>
      <c r="AQ243" s="354">
        <f t="shared" si="10"/>
        <v>1</v>
      </c>
      <c r="AR243" s="356" t="e">
        <f t="shared" si="12"/>
        <v>#REF!</v>
      </c>
      <c r="AS243" s="454" t="e">
        <f>IF($B$38="P",IF(#REF!&lt;&gt;"",#REF!,""),"")</f>
        <v>#REF!</v>
      </c>
      <c r="AT243" s="454" t="e">
        <f>IF($B$38="P",IF(#REF!&lt;&gt;"",#REF!,""),"")</f>
        <v>#REF!</v>
      </c>
      <c r="AV243">
        <v>66</v>
      </c>
      <c r="AW243" s="359"/>
    </row>
    <row r="244" spans="18:49" ht="12.75" hidden="1" customHeight="1">
      <c r="R244">
        <f t="shared" ref="R244:R254" si="13">$Q$178</f>
        <v>1</v>
      </c>
      <c r="S244" s="356" t="e">
        <f t="shared" si="11"/>
        <v>#REF!</v>
      </c>
      <c r="T244" s="454" t="e">
        <f>IF($B$38="P",IF(#REF!&lt;&gt;"",#REF!,""),"")</f>
        <v>#REF!</v>
      </c>
      <c r="U244" s="454" t="e">
        <f>IF($B$38="P",IF(#REF!&lt;&gt;"",ABS(#REF!),""),"")</f>
        <v>#REF!</v>
      </c>
      <c r="V244" s="454" t="e">
        <f>IF($B$38="P",IF(#REF!&lt;&gt;"",#REF!,""),"")</f>
        <v>#REF!</v>
      </c>
      <c r="W244" s="454" t="e">
        <f>IF($B$38="P",IF(#REF!&lt;&gt;"",#REF!,""),"")</f>
        <v>#REF!</v>
      </c>
      <c r="Y244">
        <v>67</v>
      </c>
    </row>
    <row r="245" spans="18:49" ht="12.75" hidden="1" customHeight="1">
      <c r="R245">
        <f t="shared" si="13"/>
        <v>1</v>
      </c>
      <c r="S245" s="356" t="e">
        <f t="shared" si="11"/>
        <v>#REF!</v>
      </c>
      <c r="T245" s="454" t="e">
        <f>IF($B$38="P",IF(#REF!&lt;&gt;"",#REF!,""),"")</f>
        <v>#REF!</v>
      </c>
      <c r="U245" s="454" t="e">
        <f>IF($B$38="P",IF(#REF!&lt;&gt;"",ABS(#REF!),""),"")</f>
        <v>#REF!</v>
      </c>
      <c r="V245" s="454" t="e">
        <f>IF($B$38="P",IF(#REF!&lt;&gt;"",#REF!,""),"")</f>
        <v>#REF!</v>
      </c>
      <c r="W245" s="454" t="e">
        <f>IF($B$38="P",IF(#REF!&lt;&gt;"",#REF!,""),"")</f>
        <v>#REF!</v>
      </c>
      <c r="Y245">
        <v>68</v>
      </c>
    </row>
    <row r="246" spans="18:49" ht="12.75" hidden="1" customHeight="1">
      <c r="R246">
        <f t="shared" si="13"/>
        <v>1</v>
      </c>
      <c r="S246" s="356" t="e">
        <f t="shared" si="11"/>
        <v>#REF!</v>
      </c>
      <c r="T246" s="454" t="e">
        <f>IF($B$38="P",IF(#REF!&lt;&gt;"",#REF!,""),"")</f>
        <v>#REF!</v>
      </c>
      <c r="U246" s="454" t="e">
        <f>IF($B$38="P",IF(#REF!&lt;&gt;"",ABS(#REF!),""),"")</f>
        <v>#REF!</v>
      </c>
      <c r="V246" s="454" t="e">
        <f>IF($B$38="P",IF(#REF!&lt;&gt;"",#REF!,""),"")</f>
        <v>#REF!</v>
      </c>
      <c r="W246" s="454" t="e">
        <f>IF($B$38="P",IF(#REF!&lt;&gt;"",#REF!,""),"")</f>
        <v>#REF!</v>
      </c>
      <c r="Y246">
        <v>69</v>
      </c>
    </row>
    <row r="247" spans="18:49" ht="12.75" hidden="1" customHeight="1">
      <c r="R247">
        <f t="shared" si="13"/>
        <v>1</v>
      </c>
      <c r="S247" s="356" t="e">
        <f t="shared" si="11"/>
        <v>#REF!</v>
      </c>
      <c r="T247" s="454" t="e">
        <f>IF($B$38="P",IF(#REF!&lt;&gt;"",#REF!,""),"")</f>
        <v>#REF!</v>
      </c>
      <c r="U247" s="454" t="e">
        <f>IF($B$38="P",IF(#REF!&lt;&gt;"",ABS(#REF!),""),"")</f>
        <v>#REF!</v>
      </c>
      <c r="V247" s="454" t="e">
        <f>IF($B$38="P",IF(#REF!&lt;&gt;"",#REF!,""),"")</f>
        <v>#REF!</v>
      </c>
      <c r="W247" s="454" t="e">
        <f>IF($B$38="P",IF(#REF!&lt;&gt;"",#REF!,""),"")</f>
        <v>#REF!</v>
      </c>
      <c r="Y247">
        <v>70</v>
      </c>
    </row>
    <row r="248" spans="18:49" ht="12.75" hidden="1" customHeight="1">
      <c r="R248">
        <f t="shared" si="13"/>
        <v>1</v>
      </c>
      <c r="S248" s="356" t="e">
        <f t="shared" si="11"/>
        <v>#REF!</v>
      </c>
      <c r="T248" s="454" t="e">
        <f>IF($B$38="P",IF(#REF!&lt;&gt;"",#REF!,""),"")</f>
        <v>#REF!</v>
      </c>
      <c r="U248" s="454" t="e">
        <f>IF($B$38="P",IF(#REF!&lt;&gt;"",ABS(#REF!),""),"")</f>
        <v>#REF!</v>
      </c>
      <c r="V248" s="454" t="e">
        <f>IF($B$38="P",IF(#REF!&lt;&gt;"",#REF!,""),"")</f>
        <v>#REF!</v>
      </c>
      <c r="W248" s="454" t="e">
        <f>IF($B$38="P",IF(#REF!&lt;&gt;"",#REF!,""),"")</f>
        <v>#REF!</v>
      </c>
      <c r="Y248">
        <v>71</v>
      </c>
    </row>
    <row r="249" spans="18:49" ht="12.75" hidden="1" customHeight="1">
      <c r="R249">
        <f t="shared" si="13"/>
        <v>1</v>
      </c>
      <c r="S249" s="356" t="e">
        <f t="shared" si="11"/>
        <v>#REF!</v>
      </c>
      <c r="T249" s="454" t="e">
        <f>IF($B$38="P",IF(#REF!&lt;&gt;"",#REF!,""),"")</f>
        <v>#REF!</v>
      </c>
      <c r="U249" s="454" t="e">
        <f>IF($B$38="P",IF(#REF!&lt;&gt;"",ABS(#REF!),""),"")</f>
        <v>#REF!</v>
      </c>
      <c r="V249" s="454" t="e">
        <f>IF($B$38="P",IF(#REF!&lt;&gt;"",#REF!,""),"")</f>
        <v>#REF!</v>
      </c>
      <c r="W249" s="454" t="e">
        <f>IF($B$38="P",IF(#REF!&lt;&gt;"",#REF!,""),"")</f>
        <v>#REF!</v>
      </c>
      <c r="Y249">
        <v>72</v>
      </c>
    </row>
    <row r="250" spans="18:49" ht="12.75" hidden="1" customHeight="1">
      <c r="R250">
        <f t="shared" si="13"/>
        <v>1</v>
      </c>
      <c r="S250" s="356" t="e">
        <f t="shared" si="11"/>
        <v>#REF!</v>
      </c>
      <c r="T250" s="454" t="e">
        <f>IF($B$38="P",IF(#REF!&lt;&gt;"",#REF!,""),"")</f>
        <v>#REF!</v>
      </c>
      <c r="U250" s="454" t="e">
        <f>IF($B$38="P",IF(#REF!&lt;&gt;"",ABS(#REF!),""),"")</f>
        <v>#REF!</v>
      </c>
      <c r="V250" s="454" t="e">
        <f>IF($B$38="P",IF(#REF!&lt;&gt;"",#REF!,""),"")</f>
        <v>#REF!</v>
      </c>
      <c r="W250" s="454" t="e">
        <f>IF($B$38="P",IF(#REF!&lt;&gt;"",#REF!,""),"")</f>
        <v>#REF!</v>
      </c>
      <c r="Y250">
        <v>73</v>
      </c>
    </row>
    <row r="251" spans="18:49" ht="12.75" hidden="1" customHeight="1">
      <c r="R251">
        <f t="shared" si="13"/>
        <v>1</v>
      </c>
      <c r="S251" s="356" t="e">
        <f t="shared" si="11"/>
        <v>#REF!</v>
      </c>
      <c r="T251" s="454" t="e">
        <f>IF($B$38="P",IF(#REF!&lt;&gt;"",#REF!,""),"")</f>
        <v>#REF!</v>
      </c>
      <c r="U251" s="454" t="e">
        <f>IF($B$38="P",IF(#REF!&lt;&gt;"",ABS(#REF!),""),"")</f>
        <v>#REF!</v>
      </c>
      <c r="V251" s="454" t="e">
        <f>IF($B$38="P",IF(#REF!&lt;&gt;"",#REF!,""),"")</f>
        <v>#REF!</v>
      </c>
      <c r="W251" s="454" t="e">
        <f>IF($B$38="P",IF(#REF!&lt;&gt;"",#REF!,""),"")</f>
        <v>#REF!</v>
      </c>
      <c r="Y251">
        <v>74</v>
      </c>
    </row>
    <row r="252" spans="18:49" ht="12.75" hidden="1" customHeight="1">
      <c r="R252">
        <f t="shared" si="13"/>
        <v>1</v>
      </c>
      <c r="S252" s="356" t="e">
        <f t="shared" si="11"/>
        <v>#REF!</v>
      </c>
      <c r="T252" s="454" t="e">
        <f>IF($B$38="P",IF(#REF!&lt;&gt;"",#REF!,""),"")</f>
        <v>#REF!</v>
      </c>
      <c r="U252" s="454" t="e">
        <f>IF($B$38="P",IF(#REF!&lt;&gt;"",ABS(#REF!),""),"")</f>
        <v>#REF!</v>
      </c>
      <c r="V252" s="454" t="e">
        <f>IF($B$38="P",IF(#REF!&lt;&gt;"",#REF!,""),"")</f>
        <v>#REF!</v>
      </c>
      <c r="W252" s="454" t="e">
        <f>IF($B$38="P",IF(#REF!&lt;&gt;"",#REF!,""),"")</f>
        <v>#REF!</v>
      </c>
      <c r="Y252">
        <v>75</v>
      </c>
    </row>
    <row r="253" spans="18:49" ht="12.75" hidden="1" customHeight="1">
      <c r="R253">
        <f t="shared" si="13"/>
        <v>1</v>
      </c>
      <c r="S253" s="356" t="e">
        <f t="shared" si="11"/>
        <v>#REF!</v>
      </c>
      <c r="T253" s="454" t="e">
        <f>IF($B$38="P",IF(#REF!&lt;&gt;"",#REF!,""),"")</f>
        <v>#REF!</v>
      </c>
      <c r="U253" s="454" t="e">
        <f>IF($B$38="P",IF(#REF!&lt;&gt;"",ABS(#REF!),""),"")</f>
        <v>#REF!</v>
      </c>
      <c r="V253" s="454" t="e">
        <f>IF($B$38="P",IF(#REF!&lt;&gt;"",#REF!,""),"")</f>
        <v>#REF!</v>
      </c>
      <c r="W253" s="454" t="e">
        <f>IF($B$38="P",IF(#REF!&lt;&gt;"",#REF!,""),"")</f>
        <v>#REF!</v>
      </c>
      <c r="Y253">
        <v>76</v>
      </c>
    </row>
    <row r="254" spans="18:49" ht="12.75" hidden="1" customHeight="1">
      <c r="R254">
        <f t="shared" si="13"/>
        <v>1</v>
      </c>
      <c r="S254" s="356" t="e">
        <f t="shared" si="11"/>
        <v>#REF!</v>
      </c>
      <c r="T254" s="454" t="e">
        <f>IF($B$38="P",IF(#REF!&lt;&gt;"",#REF!,""),"")</f>
        <v>#REF!</v>
      </c>
      <c r="U254" s="454" t="e">
        <f>IF($B$38="P",IF(#REF!&lt;&gt;"",ABS(#REF!),""),"")</f>
        <v>#REF!</v>
      </c>
      <c r="V254" s="454" t="e">
        <f>IF($B$38="P",IF(#REF!&lt;&gt;"",#REF!,""),"")</f>
        <v>#REF!</v>
      </c>
      <c r="W254" s="454" t="e">
        <f>IF($B$38="P",IF(#REF!&lt;&gt;"",#REF!,""),"")</f>
        <v>#REF!</v>
      </c>
      <c r="Y254">
        <v>77</v>
      </c>
    </row>
    <row r="271" spans="17:24" ht="12.75" hidden="1" customHeight="1">
      <c r="Q271" t="s">
        <v>718</v>
      </c>
      <c r="R271" s="296" t="s">
        <v>708</v>
      </c>
      <c r="S271" s="299" t="s">
        <v>709</v>
      </c>
      <c r="T271" s="299" t="s">
        <v>710</v>
      </c>
      <c r="U271" s="299" t="s">
        <v>711</v>
      </c>
      <c r="V271" s="299" t="s">
        <v>712</v>
      </c>
      <c r="W271" s="299" t="s">
        <v>713</v>
      </c>
      <c r="X271" s="299" t="s">
        <v>720</v>
      </c>
    </row>
    <row r="272" spans="17:24" ht="12.75" hidden="1" customHeight="1">
      <c r="X272" s="297"/>
    </row>
    <row r="281" spans="17:22" ht="12.75" hidden="1" customHeight="1">
      <c r="Q281" t="s">
        <v>719</v>
      </c>
      <c r="R281" s="296" t="s">
        <v>708</v>
      </c>
      <c r="S281" s="299" t="s">
        <v>709</v>
      </c>
      <c r="T281" s="299" t="s">
        <v>714</v>
      </c>
      <c r="U281" s="299" t="s">
        <v>715</v>
      </c>
      <c r="V281" s="299" t="s">
        <v>720</v>
      </c>
    </row>
    <row r="282" spans="17:22" ht="12.75" hidden="1" customHeight="1">
      <c r="V282" s="297"/>
    </row>
    <row r="291" spans="17:21" ht="12.75" hidden="1" customHeight="1">
      <c r="Q291" t="s">
        <v>725</v>
      </c>
      <c r="R291" s="296" t="s">
        <v>721</v>
      </c>
      <c r="S291" s="299" t="s">
        <v>722</v>
      </c>
      <c r="T291" s="299" t="s">
        <v>723</v>
      </c>
      <c r="U291" s="299" t="s">
        <v>724</v>
      </c>
    </row>
    <row r="292" spans="17:21" ht="12.75" hidden="1" customHeight="1">
      <c r="R292" t="str">
        <f>IF('2Př'!C30&lt;&gt;"",MID('2Př'!C30,FIND("-",'2Př'!C30,1)+1,FIND("/",'2Př'!C30,1)-FIND("-",'2Př'!C30,1)-1),"")</f>
        <v/>
      </c>
      <c r="S292" t="str">
        <f>IF('2Př'!C30&lt;&gt;"",MID('2Př'!C30,FIND("-",'2Př'!C30,3)+1,LEN('2Př'!C30)-FIND("-",'2Př'!C30,3)),"")</f>
        <v/>
      </c>
      <c r="T292" t="str">
        <f>IF('2Př'!C30&lt;&gt;"",MID('2Př'!C30,FIND("/",'2Př'!C30,1)+1,4),"")</f>
        <v/>
      </c>
      <c r="U292" s="352" t="str">
        <f>IF('2Př'!C30&lt;&gt;"",LEFT('2Př'!C30,1),"")</f>
        <v/>
      </c>
    </row>
    <row r="294" spans="17:21" ht="12.75" hidden="1" customHeight="1">
      <c r="R294" s="303" t="s">
        <v>3425</v>
      </c>
      <c r="S294" s="303" t="s">
        <v>3425</v>
      </c>
      <c r="T294" s="303" t="s">
        <v>3425</v>
      </c>
      <c r="U294" s="303" t="s">
        <v>3425</v>
      </c>
    </row>
    <row r="301" spans="17:21" ht="12.75" hidden="1" customHeight="1">
      <c r="Q301" t="s">
        <v>726</v>
      </c>
      <c r="R301" s="298" t="s">
        <v>727</v>
      </c>
      <c r="S301" s="300" t="s">
        <v>728</v>
      </c>
      <c r="T301" s="300" t="s">
        <v>729</v>
      </c>
      <c r="U301" s="300" t="s">
        <v>730</v>
      </c>
    </row>
    <row r="302" spans="17:21" ht="12.75" hidden="1" customHeight="1">
      <c r="S302" s="297"/>
      <c r="T302" s="297"/>
      <c r="U302" s="297"/>
    </row>
    <row r="311" spans="17:22" ht="12.75" hidden="1" customHeight="1">
      <c r="Q311" t="s">
        <v>731</v>
      </c>
      <c r="R311" t="s">
        <v>727</v>
      </c>
      <c r="S311" t="s">
        <v>728</v>
      </c>
      <c r="T311" t="s">
        <v>729</v>
      </c>
      <c r="U311" t="s">
        <v>730</v>
      </c>
      <c r="V311" t="s">
        <v>732</v>
      </c>
    </row>
    <row r="312" spans="17:22" ht="12.75" hidden="1" customHeight="1">
      <c r="S312" s="297"/>
      <c r="T312" s="297"/>
      <c r="U312" s="297"/>
      <c r="V312" s="297"/>
    </row>
  </sheetData>
  <sheetProtection algorithmName="SHA-512" hashValue="XRnk9k1FOeSpWHf/xyTzW8JwHPOThhBqlADuDWBkULIX5XYQQAfCqmuQZg6ezrrgoZ50zwa+T12iOtMsUhXQjw==" saltValue="bzVwdRJCT0E6qkSCSk2vjQ==" spinCount="100000" sheet="1" objects="1" scenarios="1"/>
  <pageMargins left="0.7" right="0.7" top="0.78740157499999996" bottom="0.78740157499999996" header="0.3" footer="0.3"/>
  <pageSetup paperSize="9" orientation="portrait" r:id="rId1"/>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2306-30B5-4911-98F6-A343C1076A3C}">
  <sheetPr codeName="List19">
    <tabColor theme="0"/>
    <pageSetUpPr fitToPage="1"/>
  </sheetPr>
  <dimension ref="A1:BU601"/>
  <sheetViews>
    <sheetView workbookViewId="0">
      <selection activeCell="K13" sqref="K13"/>
    </sheetView>
  </sheetViews>
  <sheetFormatPr defaultRowHeight="12.75"/>
  <cols>
    <col min="1" max="1" width="4.42578125" style="593" bestFit="1" customWidth="1"/>
    <col min="2" max="2" width="10" style="593" customWidth="1"/>
    <col min="3" max="3" width="36.140625" style="593" customWidth="1"/>
    <col min="4" max="11" width="7.7109375" style="593" customWidth="1"/>
    <col min="12" max="73" width="9.140625" style="592"/>
    <col min="74" max="16384" width="9.140625" style="593"/>
  </cols>
  <sheetData>
    <row r="1" spans="1:73" ht="30" customHeight="1" thickBot="1">
      <c r="A1" s="1382" t="s">
        <v>3858</v>
      </c>
      <c r="B1" s="1382"/>
      <c r="C1" s="1383"/>
      <c r="D1" s="1383"/>
      <c r="E1" s="1383"/>
      <c r="F1" s="1383"/>
      <c r="G1" s="1383"/>
      <c r="H1" s="1383"/>
      <c r="I1" s="1383"/>
      <c r="J1" s="1383"/>
      <c r="K1" s="1383"/>
    </row>
    <row r="2" spans="1:73" ht="22.5" customHeight="1">
      <c r="A2" s="1384"/>
      <c r="B2" s="1387" t="s">
        <v>3458</v>
      </c>
      <c r="C2" s="1388"/>
      <c r="D2" s="1387" t="s">
        <v>141</v>
      </c>
      <c r="E2" s="1391"/>
      <c r="F2" s="1392" t="s">
        <v>3456</v>
      </c>
      <c r="G2" s="1393"/>
      <c r="H2" s="1392" t="s">
        <v>3457</v>
      </c>
      <c r="I2" s="1393"/>
      <c r="J2" s="1392" t="s">
        <v>3541</v>
      </c>
      <c r="K2" s="1394"/>
      <c r="BQ2" s="593"/>
      <c r="BR2" s="593"/>
      <c r="BS2" s="593"/>
      <c r="BT2" s="593"/>
      <c r="BU2" s="593"/>
    </row>
    <row r="3" spans="1:73" ht="21.95" customHeight="1">
      <c r="A3" s="1385"/>
      <c r="B3" s="1389"/>
      <c r="C3" s="1390"/>
      <c r="D3" s="1389"/>
      <c r="E3" s="1390"/>
      <c r="F3" s="594" t="s">
        <v>3539</v>
      </c>
      <c r="G3" s="594" t="s">
        <v>3540</v>
      </c>
      <c r="H3" s="594" t="s">
        <v>3539</v>
      </c>
      <c r="I3" s="594" t="s">
        <v>3540</v>
      </c>
      <c r="J3" s="594" t="s">
        <v>3539</v>
      </c>
      <c r="K3" s="595" t="s">
        <v>3540</v>
      </c>
      <c r="BQ3" s="593"/>
      <c r="BR3" s="593"/>
      <c r="BS3" s="593"/>
      <c r="BT3" s="593"/>
      <c r="BU3" s="593"/>
    </row>
    <row r="4" spans="1:73" ht="12" customHeight="1">
      <c r="A4" s="1386"/>
      <c r="B4" s="1395">
        <v>1</v>
      </c>
      <c r="C4" s="1396"/>
      <c r="D4" s="1395">
        <v>2</v>
      </c>
      <c r="E4" s="1395"/>
      <c r="F4" s="1397">
        <v>3</v>
      </c>
      <c r="G4" s="1398"/>
      <c r="H4" s="1397">
        <v>4</v>
      </c>
      <c r="I4" s="1398"/>
      <c r="J4" s="1397">
        <v>5</v>
      </c>
      <c r="K4" s="1399"/>
      <c r="BQ4" s="593"/>
      <c r="BR4" s="593"/>
      <c r="BS4" s="593"/>
      <c r="BT4" s="593"/>
      <c r="BU4" s="593"/>
    </row>
    <row r="5" spans="1:73" ht="18" customHeight="1">
      <c r="A5" s="596">
        <v>5</v>
      </c>
      <c r="B5" s="1400" t="s">
        <v>135</v>
      </c>
      <c r="C5" s="1401"/>
      <c r="D5" s="1402"/>
      <c r="E5" s="1403"/>
      <c r="F5" s="597"/>
      <c r="G5" s="597"/>
      <c r="H5" s="597"/>
      <c r="I5" s="597"/>
      <c r="J5" s="598"/>
      <c r="K5" s="599"/>
      <c r="BQ5" s="593"/>
      <c r="BR5" s="593"/>
      <c r="BS5" s="593"/>
      <c r="BT5" s="593"/>
      <c r="BU5" s="593"/>
    </row>
    <row r="6" spans="1:73" ht="18" customHeight="1">
      <c r="A6" s="596">
        <v>6</v>
      </c>
      <c r="B6" s="1400" t="s">
        <v>135</v>
      </c>
      <c r="C6" s="1401"/>
      <c r="D6" s="1402"/>
      <c r="E6" s="1402"/>
      <c r="F6" s="597"/>
      <c r="G6" s="597"/>
      <c r="H6" s="597"/>
      <c r="I6" s="597"/>
      <c r="J6" s="598"/>
      <c r="K6" s="599"/>
      <c r="BQ6" s="593"/>
      <c r="BR6" s="593"/>
      <c r="BS6" s="593"/>
      <c r="BT6" s="593"/>
      <c r="BU6" s="593"/>
    </row>
    <row r="7" spans="1:73" ht="18" customHeight="1">
      <c r="A7" s="596">
        <v>7</v>
      </c>
      <c r="B7" s="1400" t="s">
        <v>135</v>
      </c>
      <c r="C7" s="1401"/>
      <c r="D7" s="1402"/>
      <c r="E7" s="1402"/>
      <c r="F7" s="597"/>
      <c r="G7" s="597"/>
      <c r="H7" s="597"/>
      <c r="I7" s="597"/>
      <c r="J7" s="598"/>
      <c r="K7" s="599"/>
      <c r="BQ7" s="593"/>
      <c r="BR7" s="593"/>
      <c r="BS7" s="593"/>
      <c r="BT7" s="593"/>
      <c r="BU7" s="593"/>
    </row>
    <row r="8" spans="1:73" ht="18" customHeight="1">
      <c r="A8" s="596">
        <v>8</v>
      </c>
      <c r="B8" s="1400" t="s">
        <v>135</v>
      </c>
      <c r="C8" s="1401"/>
      <c r="D8" s="1402"/>
      <c r="E8" s="1402"/>
      <c r="F8" s="597"/>
      <c r="G8" s="597"/>
      <c r="H8" s="597"/>
      <c r="I8" s="597"/>
      <c r="J8" s="598"/>
      <c r="K8" s="599"/>
      <c r="BQ8" s="593"/>
      <c r="BR8" s="593"/>
      <c r="BS8" s="593"/>
      <c r="BT8" s="593"/>
      <c r="BU8" s="593"/>
    </row>
    <row r="9" spans="1:73" ht="18" customHeight="1">
      <c r="A9" s="596">
        <v>9</v>
      </c>
      <c r="B9" s="1400" t="s">
        <v>135</v>
      </c>
      <c r="C9" s="1401"/>
      <c r="D9" s="1402"/>
      <c r="E9" s="1402"/>
      <c r="F9" s="597"/>
      <c r="G9" s="597"/>
      <c r="H9" s="597"/>
      <c r="I9" s="597"/>
      <c r="J9" s="598"/>
      <c r="K9" s="599"/>
      <c r="BQ9" s="593"/>
      <c r="BR9" s="593"/>
      <c r="BS9" s="593"/>
      <c r="BT9" s="593"/>
      <c r="BU9" s="593"/>
    </row>
    <row r="10" spans="1:73" ht="18" customHeight="1">
      <c r="A10" s="596">
        <v>10</v>
      </c>
      <c r="B10" s="1400" t="s">
        <v>135</v>
      </c>
      <c r="C10" s="1401"/>
      <c r="D10" s="1402"/>
      <c r="E10" s="1402"/>
      <c r="F10" s="597"/>
      <c r="G10" s="597"/>
      <c r="H10" s="597"/>
      <c r="I10" s="597"/>
      <c r="J10" s="598"/>
      <c r="K10" s="599"/>
      <c r="BQ10" s="593"/>
      <c r="BR10" s="593"/>
      <c r="BS10" s="593"/>
      <c r="BT10" s="593"/>
      <c r="BU10" s="593"/>
    </row>
    <row r="11" spans="1:73" ht="18" customHeight="1">
      <c r="A11" s="596">
        <v>11</v>
      </c>
      <c r="B11" s="1400" t="s">
        <v>135</v>
      </c>
      <c r="C11" s="1401"/>
      <c r="D11" s="1402"/>
      <c r="E11" s="1402"/>
      <c r="F11" s="597"/>
      <c r="G11" s="597"/>
      <c r="H11" s="597"/>
      <c r="I11" s="597"/>
      <c r="J11" s="598"/>
      <c r="K11" s="599"/>
      <c r="BQ11" s="593"/>
      <c r="BR11" s="593"/>
      <c r="BS11" s="593"/>
      <c r="BT11" s="593"/>
      <c r="BU11" s="593"/>
    </row>
    <row r="12" spans="1:73" ht="18" customHeight="1">
      <c r="A12" s="596">
        <v>12</v>
      </c>
      <c r="B12" s="1400" t="s">
        <v>135</v>
      </c>
      <c r="C12" s="1401"/>
      <c r="D12" s="1402"/>
      <c r="E12" s="1402"/>
      <c r="F12" s="597"/>
      <c r="G12" s="597"/>
      <c r="H12" s="597"/>
      <c r="I12" s="597"/>
      <c r="J12" s="598"/>
      <c r="K12" s="599"/>
      <c r="BQ12" s="593"/>
      <c r="BR12" s="593"/>
      <c r="BS12" s="593"/>
      <c r="BT12" s="593"/>
      <c r="BU12" s="593"/>
    </row>
    <row r="13" spans="1:73" ht="15.95" customHeight="1" thickBot="1">
      <c r="A13" s="600"/>
      <c r="B13" s="1404" t="s">
        <v>57</v>
      </c>
      <c r="C13" s="1405"/>
      <c r="D13" s="1406"/>
      <c r="E13" s="1406"/>
      <c r="F13" s="601">
        <f t="shared" ref="F13:K13" si="0">+SUM(F5:F12)</f>
        <v>0</v>
      </c>
      <c r="G13" s="601">
        <f t="shared" si="0"/>
        <v>0</v>
      </c>
      <c r="H13" s="601">
        <f t="shared" si="0"/>
        <v>0</v>
      </c>
      <c r="I13" s="601">
        <f t="shared" si="0"/>
        <v>0</v>
      </c>
      <c r="J13" s="601">
        <f t="shared" si="0"/>
        <v>0</v>
      </c>
      <c r="K13" s="602">
        <f t="shared" si="0"/>
        <v>0</v>
      </c>
      <c r="BU13" s="593"/>
    </row>
    <row r="14" spans="1:73" s="592" customFormat="1" ht="99.95" customHeight="1">
      <c r="A14" s="1407"/>
      <c r="B14" s="1407"/>
      <c r="C14" s="1408"/>
      <c r="D14" s="1408"/>
      <c r="E14" s="1408"/>
      <c r="F14" s="1408"/>
      <c r="G14" s="1408"/>
      <c r="H14" s="1408"/>
      <c r="I14" s="1408"/>
      <c r="J14" s="1408"/>
      <c r="K14" s="1408"/>
    </row>
    <row r="15" spans="1:73" s="592" customFormat="1" ht="99.95" customHeight="1">
      <c r="A15" s="1409"/>
      <c r="B15" s="1409"/>
      <c r="C15" s="1409"/>
      <c r="D15" s="1409"/>
      <c r="E15" s="1409"/>
      <c r="F15" s="1409"/>
      <c r="G15" s="1409"/>
      <c r="H15" s="1409"/>
      <c r="I15" s="1409"/>
      <c r="J15" s="1409"/>
      <c r="K15" s="1409"/>
    </row>
    <row r="16" spans="1:73" s="592" customFormat="1"/>
    <row r="17" s="592" customFormat="1"/>
    <row r="18" s="592" customFormat="1"/>
    <row r="19" s="592" customFormat="1"/>
    <row r="20" s="592" customFormat="1"/>
    <row r="21" s="592" customFormat="1"/>
    <row r="22" s="592" customFormat="1"/>
    <row r="23" s="592" customFormat="1"/>
    <row r="24" s="592" customFormat="1"/>
    <row r="25" s="592" customFormat="1"/>
    <row r="26" s="592" customFormat="1"/>
    <row r="27" s="592" customFormat="1"/>
    <row r="28" s="592" customFormat="1"/>
    <row r="29" s="592" customFormat="1"/>
    <row r="30" s="592" customFormat="1"/>
    <row r="31" s="592" customFormat="1"/>
    <row r="32" s="592" customFormat="1"/>
    <row r="33" s="592" customFormat="1"/>
    <row r="34" s="592" customFormat="1"/>
    <row r="35" s="592" customFormat="1"/>
    <row r="36" s="592" customFormat="1"/>
    <row r="37" s="592" customFormat="1"/>
    <row r="38" s="592" customFormat="1"/>
    <row r="39" s="592" customFormat="1"/>
    <row r="40" s="592" customFormat="1"/>
    <row r="41" s="592" customFormat="1"/>
    <row r="42" s="592" customFormat="1"/>
    <row r="43" s="592" customFormat="1"/>
    <row r="44" s="592" customFormat="1"/>
    <row r="45" s="592" customFormat="1"/>
    <row r="46" s="592" customFormat="1"/>
    <row r="47" s="592" customFormat="1"/>
    <row r="48" s="592" customFormat="1"/>
    <row r="49" s="592" customFormat="1"/>
    <row r="50" s="592" customFormat="1"/>
    <row r="51" s="592" customFormat="1"/>
    <row r="52" s="592" customFormat="1"/>
    <row r="53" s="592" customFormat="1"/>
    <row r="54" s="592" customFormat="1"/>
    <row r="55" s="592" customFormat="1"/>
    <row r="56" s="592" customFormat="1"/>
    <row r="57" s="592" customFormat="1"/>
    <row r="58" s="592" customFormat="1"/>
    <row r="59" s="592" customFormat="1"/>
    <row r="60" s="592" customFormat="1"/>
    <row r="61" s="592" customFormat="1"/>
    <row r="62" s="592" customFormat="1"/>
    <row r="63" s="592" customFormat="1"/>
    <row r="64" s="592" customFormat="1"/>
    <row r="65" s="592" customFormat="1"/>
    <row r="66" s="592" customFormat="1"/>
    <row r="67" s="592" customFormat="1"/>
    <row r="68" s="592" customFormat="1"/>
    <row r="69" s="592" customFormat="1"/>
    <row r="70" s="592" customFormat="1"/>
    <row r="71" s="592" customFormat="1"/>
    <row r="72" s="592" customFormat="1"/>
    <row r="73" s="592" customFormat="1"/>
    <row r="74" s="592" customFormat="1"/>
    <row r="75" s="592" customFormat="1"/>
    <row r="76" s="592" customFormat="1"/>
    <row r="77" s="592" customFormat="1"/>
    <row r="78" s="592" customFormat="1"/>
    <row r="79" s="592" customFormat="1"/>
    <row r="80" s="592" customFormat="1"/>
    <row r="81" s="592" customFormat="1"/>
    <row r="82" s="592" customFormat="1"/>
    <row r="83" s="592" customFormat="1"/>
    <row r="84" s="592" customFormat="1"/>
    <row r="85" s="592" customFormat="1"/>
    <row r="86" s="592" customFormat="1"/>
    <row r="87" s="592" customFormat="1"/>
    <row r="88" s="592" customFormat="1"/>
    <row r="89" s="592" customFormat="1"/>
    <row r="90" s="592" customFormat="1"/>
    <row r="91" s="592" customFormat="1"/>
    <row r="92" s="592" customFormat="1"/>
    <row r="93" s="592" customFormat="1"/>
    <row r="94" s="592" customFormat="1"/>
    <row r="95" s="592" customFormat="1"/>
    <row r="96" s="592" customFormat="1"/>
    <row r="97" s="592" customFormat="1"/>
    <row r="98" s="592" customFormat="1"/>
    <row r="99" s="592" customFormat="1"/>
    <row r="100" s="592" customFormat="1"/>
    <row r="101" s="592" customFormat="1"/>
    <row r="102" s="592" customFormat="1"/>
    <row r="103" s="592" customFormat="1"/>
    <row r="104" s="592" customFormat="1"/>
    <row r="105" s="592" customFormat="1"/>
    <row r="106" s="592" customFormat="1"/>
    <row r="107" s="592" customFormat="1"/>
    <row r="108" s="592" customFormat="1"/>
    <row r="109" s="592" customFormat="1"/>
    <row r="110" s="592" customFormat="1"/>
    <row r="111" s="592" customFormat="1"/>
    <row r="112" s="592" customFormat="1"/>
    <row r="113" s="592" customFormat="1"/>
    <row r="114" s="592" customFormat="1"/>
    <row r="115" s="592" customFormat="1"/>
    <row r="116" s="592" customFormat="1"/>
    <row r="117" s="592" customFormat="1"/>
    <row r="118" s="592" customFormat="1"/>
    <row r="119" s="592" customFormat="1"/>
    <row r="120" s="592" customFormat="1"/>
    <row r="121" s="592" customFormat="1"/>
    <row r="122" s="592" customFormat="1"/>
    <row r="123" s="592" customFormat="1"/>
    <row r="124" s="592" customFormat="1"/>
    <row r="125" s="592" customFormat="1"/>
    <row r="126" s="592" customFormat="1"/>
    <row r="127" s="592" customFormat="1"/>
    <row r="128" s="592" customFormat="1"/>
    <row r="129" s="592" customFormat="1"/>
    <row r="130" s="592" customFormat="1"/>
    <row r="131" s="592" customFormat="1"/>
    <row r="132" s="592" customFormat="1"/>
    <row r="133" s="592" customFormat="1"/>
    <row r="134" s="592" customFormat="1"/>
    <row r="135" s="592" customFormat="1"/>
    <row r="136" s="592" customFormat="1"/>
    <row r="137" s="592" customFormat="1"/>
    <row r="138" s="592" customFormat="1"/>
    <row r="139" s="592" customFormat="1"/>
    <row r="140" s="592" customFormat="1"/>
    <row r="141" s="592" customFormat="1"/>
    <row r="142" s="592" customFormat="1"/>
    <row r="143" s="592" customFormat="1"/>
    <row r="144" s="592" customFormat="1"/>
    <row r="145" s="592" customFormat="1"/>
    <row r="146" s="592" customFormat="1"/>
    <row r="147" s="592" customFormat="1"/>
    <row r="148" s="592" customFormat="1"/>
    <row r="149" s="592" customFormat="1"/>
    <row r="150" s="592" customFormat="1"/>
    <row r="151" s="592" customFormat="1"/>
    <row r="152" s="592" customFormat="1"/>
    <row r="153" s="592" customFormat="1"/>
    <row r="154" s="592" customFormat="1"/>
    <row r="155" s="592" customFormat="1"/>
    <row r="156" s="592" customFormat="1"/>
    <row r="157" s="592" customFormat="1"/>
    <row r="158" s="592" customFormat="1"/>
    <row r="159" s="592" customFormat="1"/>
    <row r="160" s="592" customFormat="1"/>
    <row r="161" s="592" customFormat="1"/>
    <row r="162" s="592" customFormat="1"/>
    <row r="163" s="592" customFormat="1"/>
    <row r="164" s="592" customFormat="1"/>
    <row r="165" s="592" customFormat="1"/>
    <row r="166" s="592" customFormat="1"/>
    <row r="167" s="592" customFormat="1"/>
    <row r="168" s="592" customFormat="1"/>
    <row r="169" s="592" customFormat="1"/>
    <row r="170" s="592" customFormat="1"/>
    <row r="171" s="592" customFormat="1"/>
    <row r="172" s="592" customFormat="1"/>
    <row r="173" s="592" customFormat="1"/>
    <row r="174" s="592" customFormat="1"/>
    <row r="175" s="592" customFormat="1"/>
    <row r="176" s="592" customFormat="1"/>
    <row r="177" s="592" customFormat="1"/>
    <row r="178" s="592" customFormat="1"/>
    <row r="179" s="592" customFormat="1"/>
    <row r="180" s="592" customFormat="1"/>
    <row r="181" s="592" customFormat="1"/>
    <row r="182" s="592" customFormat="1"/>
    <row r="183" s="592" customFormat="1"/>
    <row r="184" s="592" customFormat="1"/>
    <row r="185" s="592" customFormat="1"/>
    <row r="186" s="592" customFormat="1"/>
    <row r="187" s="592" customFormat="1"/>
    <row r="188" s="592" customFormat="1"/>
    <row r="189" s="592" customFormat="1"/>
    <row r="190" s="592" customFormat="1"/>
    <row r="191" s="592" customFormat="1"/>
    <row r="192" s="592" customFormat="1"/>
    <row r="193" s="592" customFormat="1"/>
    <row r="194" s="592" customFormat="1"/>
    <row r="195" s="592" customFormat="1"/>
    <row r="196" s="592" customFormat="1"/>
    <row r="197" s="592" customFormat="1"/>
    <row r="198" s="592" customFormat="1"/>
    <row r="199" s="592" customFormat="1"/>
    <row r="200" s="592" customFormat="1"/>
    <row r="201" s="592" customFormat="1"/>
    <row r="202" s="592" customFormat="1"/>
    <row r="203" s="592" customFormat="1"/>
    <row r="204" s="592" customFormat="1"/>
    <row r="205" s="592" customFormat="1"/>
    <row r="206" s="592" customFormat="1"/>
    <row r="207" s="592" customFormat="1"/>
    <row r="208" s="592" customFormat="1"/>
    <row r="209" s="592" customFormat="1"/>
    <row r="210" s="592" customFormat="1"/>
    <row r="211" s="592" customFormat="1"/>
    <row r="212" s="592" customFormat="1"/>
    <row r="213" s="592" customFormat="1"/>
    <row r="214" s="592" customFormat="1"/>
    <row r="215" s="592" customFormat="1"/>
    <row r="216" s="592" customFormat="1"/>
    <row r="217" s="592" customFormat="1"/>
    <row r="218" s="592" customFormat="1"/>
    <row r="219" s="592" customFormat="1"/>
    <row r="220" s="592" customFormat="1"/>
    <row r="221" s="592" customFormat="1"/>
    <row r="222" s="592" customFormat="1"/>
    <row r="223" s="592" customFormat="1"/>
    <row r="224" s="592" customFormat="1"/>
    <row r="225" s="592" customFormat="1"/>
    <row r="226" s="592" customFormat="1"/>
    <row r="227" s="592" customFormat="1"/>
    <row r="228" s="592" customFormat="1"/>
    <row r="229" s="592" customFormat="1"/>
    <row r="230" s="592" customFormat="1"/>
    <row r="231" s="592" customFormat="1"/>
    <row r="232" s="592" customFormat="1"/>
    <row r="233" s="592" customFormat="1"/>
    <row r="234" s="592" customFormat="1"/>
    <row r="235" s="592" customFormat="1"/>
    <row r="236" s="592" customFormat="1"/>
    <row r="237" s="592" customFormat="1"/>
    <row r="238" s="592" customFormat="1"/>
    <row r="239" s="592" customFormat="1"/>
    <row r="240" s="592" customFormat="1"/>
    <row r="241" s="592" customFormat="1"/>
    <row r="242" s="592" customFormat="1"/>
    <row r="243" s="592" customFormat="1"/>
    <row r="244" s="592" customFormat="1"/>
    <row r="245" s="592" customFormat="1"/>
    <row r="246" s="592" customFormat="1"/>
    <row r="247" s="592" customFormat="1"/>
    <row r="248" s="592" customFormat="1"/>
    <row r="249" s="592" customFormat="1"/>
    <row r="250" s="592" customFormat="1"/>
    <row r="251" s="592" customFormat="1"/>
    <row r="252" s="592" customFormat="1"/>
    <row r="253" s="592" customFormat="1"/>
    <row r="254" s="592" customFormat="1"/>
    <row r="255" s="592" customFormat="1"/>
    <row r="256" s="592" customFormat="1"/>
    <row r="257" s="592" customFormat="1"/>
    <row r="258" s="592" customFormat="1"/>
    <row r="259" s="592" customFormat="1"/>
    <row r="260" s="592" customFormat="1"/>
    <row r="261" s="592" customFormat="1"/>
    <row r="262" s="592" customFormat="1"/>
    <row r="263" s="592" customFormat="1"/>
    <row r="264" s="592" customFormat="1"/>
    <row r="265" s="592" customFormat="1"/>
    <row r="266" s="592" customFormat="1"/>
    <row r="267" s="592" customFormat="1"/>
    <row r="268" s="592" customFormat="1"/>
    <row r="269" s="592" customFormat="1"/>
    <row r="270" s="592" customFormat="1"/>
    <row r="271" s="592" customFormat="1"/>
    <row r="272" s="592" customFormat="1"/>
    <row r="273" s="592" customFormat="1"/>
    <row r="274" s="592" customFormat="1"/>
    <row r="275" s="592" customFormat="1"/>
    <row r="276" s="592" customFormat="1"/>
    <row r="277" s="592" customFormat="1"/>
    <row r="278" s="592" customFormat="1"/>
    <row r="279" s="592" customFormat="1"/>
    <row r="280" s="592" customFormat="1"/>
    <row r="281" s="592" customFormat="1"/>
    <row r="282" s="592" customFormat="1"/>
    <row r="283" s="592" customFormat="1"/>
    <row r="284" s="592" customFormat="1"/>
    <row r="285" s="592" customFormat="1"/>
    <row r="286" s="592" customFormat="1"/>
    <row r="287" s="592" customFormat="1"/>
    <row r="288" s="592" customFormat="1"/>
    <row r="289" s="592" customFormat="1"/>
    <row r="290" s="592" customFormat="1"/>
    <row r="291" s="592" customFormat="1"/>
    <row r="292" s="592" customFormat="1"/>
    <row r="293" s="592" customFormat="1"/>
    <row r="294" s="592" customFormat="1"/>
    <row r="295" s="592" customFormat="1"/>
    <row r="296" s="592" customFormat="1"/>
    <row r="297" s="592" customFormat="1"/>
    <row r="298" s="592" customFormat="1"/>
    <row r="299" s="592" customFormat="1"/>
    <row r="300" s="592" customFormat="1"/>
    <row r="301" s="592" customFormat="1"/>
    <row r="302" s="592" customFormat="1"/>
    <row r="303" s="592" customFormat="1"/>
    <row r="304" s="592" customFormat="1"/>
    <row r="305" s="592" customFormat="1"/>
    <row r="306" s="592" customFormat="1"/>
    <row r="307" s="592" customFormat="1"/>
    <row r="308" s="592" customFormat="1"/>
    <row r="309" s="592" customFormat="1"/>
    <row r="310" s="592" customFormat="1"/>
    <row r="311" s="592" customFormat="1"/>
    <row r="312" s="592" customFormat="1"/>
    <row r="313" s="592" customFormat="1"/>
    <row r="314" s="592" customFormat="1"/>
    <row r="315" s="592" customFormat="1"/>
    <row r="316" s="592" customFormat="1"/>
    <row r="317" s="592" customFormat="1"/>
    <row r="318" s="592" customFormat="1"/>
    <row r="319" s="592" customFormat="1"/>
    <row r="320" s="592" customFormat="1"/>
    <row r="321" s="592" customFormat="1"/>
    <row r="322" s="592" customFormat="1"/>
    <row r="323" s="592" customFormat="1"/>
    <row r="324" s="592" customFormat="1"/>
    <row r="325" s="592" customFormat="1"/>
    <row r="326" s="592" customFormat="1"/>
    <row r="327" s="592" customFormat="1"/>
    <row r="328" s="592" customFormat="1"/>
    <row r="329" s="592" customFormat="1"/>
    <row r="330" s="592" customFormat="1"/>
    <row r="331" s="592" customFormat="1"/>
    <row r="332" s="592" customFormat="1"/>
    <row r="333" s="592" customFormat="1"/>
    <row r="334" s="592" customFormat="1"/>
    <row r="335" s="592" customFormat="1"/>
    <row r="336" s="592" customFormat="1"/>
    <row r="337" s="592" customFormat="1"/>
    <row r="338" s="592" customFormat="1"/>
    <row r="339" s="592" customFormat="1"/>
    <row r="340" s="592" customFormat="1"/>
    <row r="341" s="592" customFormat="1"/>
    <row r="342" s="592" customFormat="1"/>
    <row r="343" s="592" customFormat="1"/>
    <row r="344" s="592" customFormat="1"/>
    <row r="345" s="592" customFormat="1"/>
    <row r="346" s="592" customFormat="1"/>
    <row r="347" s="592" customFormat="1"/>
    <row r="348" s="592" customFormat="1"/>
    <row r="349" s="592" customFormat="1"/>
    <row r="350" s="592" customFormat="1"/>
    <row r="351" s="592" customFormat="1"/>
    <row r="352" s="592" customFormat="1"/>
    <row r="353" s="592" customFormat="1"/>
    <row r="354" s="592" customFormat="1"/>
    <row r="355" s="592" customFormat="1"/>
    <row r="356" s="592" customFormat="1"/>
    <row r="357" s="592" customFormat="1"/>
    <row r="358" s="592" customFormat="1"/>
    <row r="359" s="592" customFormat="1"/>
    <row r="360" s="592" customFormat="1"/>
    <row r="361" s="592" customFormat="1"/>
    <row r="362" s="592" customFormat="1"/>
    <row r="363" s="592" customFormat="1"/>
    <row r="364" s="592" customFormat="1"/>
    <row r="365" s="592" customFormat="1"/>
    <row r="366" s="592" customFormat="1"/>
    <row r="367" s="592" customFormat="1"/>
    <row r="368" s="592" customFormat="1"/>
    <row r="369" s="592" customFormat="1"/>
    <row r="370" s="592" customFormat="1"/>
    <row r="371" s="592" customFormat="1"/>
    <row r="372" s="592" customFormat="1"/>
    <row r="373" s="592" customFormat="1"/>
    <row r="374" s="592" customFormat="1"/>
    <row r="375" s="592" customFormat="1"/>
    <row r="376" s="592" customFormat="1"/>
    <row r="377" s="592" customFormat="1"/>
    <row r="378" s="592" customFormat="1"/>
    <row r="379" s="592" customFormat="1"/>
    <row r="380" s="592" customFormat="1"/>
    <row r="381" s="592" customFormat="1"/>
    <row r="382" s="592" customFormat="1"/>
    <row r="383" s="592" customFormat="1"/>
    <row r="384" s="592" customFormat="1"/>
    <row r="385" s="592" customFormat="1"/>
    <row r="386" s="592" customFormat="1"/>
    <row r="387" s="592" customFormat="1"/>
    <row r="388" s="592" customFormat="1"/>
    <row r="389" s="592" customFormat="1"/>
    <row r="390" s="592" customFormat="1"/>
    <row r="391" s="592" customFormat="1"/>
    <row r="392" s="592" customFormat="1"/>
    <row r="393" s="592" customFormat="1"/>
    <row r="394" s="592" customFormat="1"/>
    <row r="395" s="592" customFormat="1"/>
    <row r="396" s="592" customFormat="1"/>
    <row r="397" s="592" customFormat="1"/>
    <row r="398" s="592" customFormat="1"/>
    <row r="399" s="592" customFormat="1"/>
    <row r="400" s="592" customFormat="1"/>
    <row r="401" s="592" customFormat="1"/>
    <row r="402" s="592" customFormat="1"/>
    <row r="403" s="592" customFormat="1"/>
    <row r="404" s="592" customFormat="1"/>
    <row r="405" s="592" customFormat="1"/>
    <row r="406" s="592" customFormat="1"/>
    <row r="407" s="592" customFormat="1"/>
    <row r="408" s="592" customFormat="1"/>
    <row r="409" s="592" customFormat="1"/>
    <row r="410" s="592" customFormat="1"/>
    <row r="411" s="592" customFormat="1"/>
    <row r="412" s="592" customFormat="1"/>
    <row r="413" s="592" customFormat="1"/>
    <row r="414" s="592" customFormat="1"/>
    <row r="415" s="592" customFormat="1"/>
    <row r="416" s="592" customFormat="1"/>
    <row r="417" s="592" customFormat="1"/>
    <row r="418" s="592" customFormat="1"/>
    <row r="419" s="592" customFormat="1"/>
    <row r="420" s="592" customFormat="1"/>
    <row r="421" s="592" customFormat="1"/>
    <row r="422" s="592" customFormat="1"/>
    <row r="423" s="592" customFormat="1"/>
    <row r="424" s="592" customFormat="1"/>
    <row r="425" s="592" customFormat="1"/>
    <row r="426" s="592" customFormat="1"/>
    <row r="427" s="592" customFormat="1"/>
    <row r="428" s="592" customFormat="1"/>
    <row r="429" s="592" customFormat="1"/>
    <row r="430" s="592" customFormat="1"/>
    <row r="431" s="592" customFormat="1"/>
    <row r="432" s="592" customFormat="1"/>
    <row r="433" s="592" customFormat="1"/>
    <row r="434" s="592" customFormat="1"/>
    <row r="435" s="592" customFormat="1"/>
    <row r="436" s="592" customFormat="1"/>
    <row r="437" s="592" customFormat="1"/>
    <row r="438" s="592" customFormat="1"/>
    <row r="439" s="592" customFormat="1"/>
    <row r="440" s="592" customFormat="1"/>
    <row r="441" s="592" customFormat="1"/>
    <row r="442" s="592" customFormat="1"/>
    <row r="443" s="592" customFormat="1"/>
    <row r="444" s="592" customFormat="1"/>
    <row r="445" s="592" customFormat="1"/>
    <row r="446" s="592" customFormat="1"/>
    <row r="447" s="592" customFormat="1"/>
    <row r="448" s="592" customFormat="1"/>
    <row r="449" s="592" customFormat="1"/>
    <row r="450" s="592" customFormat="1"/>
    <row r="451" s="592" customFormat="1"/>
    <row r="452" s="592" customFormat="1"/>
    <row r="453" s="592" customFormat="1"/>
    <row r="454" s="592" customFormat="1"/>
    <row r="455" s="592" customFormat="1"/>
    <row r="456" s="592" customFormat="1"/>
    <row r="457" s="592" customFormat="1"/>
    <row r="458" s="592" customFormat="1"/>
    <row r="459" s="592" customFormat="1"/>
    <row r="460" s="592" customFormat="1"/>
    <row r="461" s="592" customFormat="1"/>
    <row r="462" s="592" customFormat="1"/>
    <row r="463" s="592" customFormat="1"/>
    <row r="464" s="592" customFormat="1"/>
    <row r="465" s="592" customFormat="1"/>
    <row r="466" s="592" customFormat="1"/>
    <row r="467" s="592" customFormat="1"/>
    <row r="468" s="592" customFormat="1"/>
    <row r="469" s="592" customFormat="1"/>
    <row r="470" s="592" customFormat="1"/>
    <row r="471" s="592" customFormat="1"/>
    <row r="472" s="592" customFormat="1"/>
    <row r="473" s="592" customFormat="1"/>
    <row r="474" s="592" customFormat="1"/>
    <row r="475" s="592" customFormat="1"/>
    <row r="476" s="592" customFormat="1"/>
    <row r="477" s="592" customFormat="1"/>
    <row r="478" s="592" customFormat="1"/>
    <row r="479" s="592" customFormat="1"/>
    <row r="480" s="592" customFormat="1"/>
    <row r="481" s="592" customFormat="1"/>
    <row r="482" s="592" customFormat="1"/>
    <row r="483" s="592" customFormat="1"/>
    <row r="484" s="592" customFormat="1"/>
    <row r="485" s="592" customFormat="1"/>
    <row r="486" s="592" customFormat="1"/>
    <row r="487" s="592" customFormat="1"/>
    <row r="488" s="592" customFormat="1"/>
    <row r="489" s="592" customFormat="1"/>
    <row r="490" s="592" customFormat="1"/>
    <row r="491" s="592" customFormat="1"/>
    <row r="492" s="592" customFormat="1"/>
    <row r="493" s="592" customFormat="1"/>
    <row r="494" s="592" customFormat="1"/>
    <row r="495" s="592" customFormat="1"/>
    <row r="496" s="592" customFormat="1"/>
    <row r="497" s="592" customFormat="1"/>
    <row r="498" s="592" customFormat="1"/>
    <row r="499" s="592" customFormat="1"/>
    <row r="500" s="592" customFormat="1"/>
    <row r="501" s="592" customFormat="1"/>
    <row r="502" s="592" customFormat="1"/>
    <row r="503" s="592" customFormat="1"/>
    <row r="504" s="592" customFormat="1"/>
    <row r="505" s="592" customFormat="1"/>
    <row r="506" s="592" customFormat="1"/>
    <row r="507" s="592" customFormat="1"/>
    <row r="508" s="592" customFormat="1"/>
    <row r="509" s="592" customFormat="1"/>
    <row r="510" s="592" customFormat="1"/>
    <row r="511" s="592" customFormat="1"/>
    <row r="512" s="592" customFormat="1"/>
    <row r="513" s="592" customFormat="1"/>
    <row r="514" s="592" customFormat="1"/>
    <row r="515" s="592" customFormat="1"/>
    <row r="516" s="592" customFormat="1"/>
    <row r="517" s="592" customFormat="1"/>
    <row r="518" s="592" customFormat="1"/>
    <row r="519" s="592" customFormat="1"/>
    <row r="520" s="592" customFormat="1"/>
    <row r="521" s="592" customFormat="1"/>
    <row r="522" s="592" customFormat="1"/>
    <row r="523" s="592" customFormat="1"/>
    <row r="524" s="592" customFormat="1"/>
    <row r="525" s="592" customFormat="1"/>
    <row r="526" s="592" customFormat="1"/>
    <row r="527" s="592" customFormat="1"/>
    <row r="528" s="592" customFormat="1"/>
    <row r="529" s="592" customFormat="1"/>
    <row r="530" s="592" customFormat="1"/>
    <row r="531" s="592" customFormat="1"/>
    <row r="532" s="592" customFormat="1"/>
    <row r="533" s="592" customFormat="1"/>
    <row r="534" s="592" customFormat="1"/>
    <row r="535" s="592" customFormat="1"/>
    <row r="536" s="592" customFormat="1"/>
    <row r="537" s="592" customFormat="1"/>
    <row r="538" s="592" customFormat="1"/>
    <row r="539" s="592" customFormat="1"/>
    <row r="540" s="592" customFormat="1"/>
    <row r="541" s="592" customFormat="1"/>
    <row r="542" s="592" customFormat="1"/>
    <row r="543" s="592" customFormat="1"/>
    <row r="544" s="592" customFormat="1"/>
    <row r="545" s="592" customFormat="1"/>
    <row r="546" s="592" customFormat="1"/>
    <row r="547" s="592" customFormat="1"/>
    <row r="548" s="592" customFormat="1"/>
    <row r="549" s="592" customFormat="1"/>
    <row r="550" s="592" customFormat="1"/>
    <row r="551" s="592" customFormat="1"/>
    <row r="552" s="592" customFormat="1"/>
    <row r="553" s="592" customFormat="1"/>
    <row r="554" s="592" customFormat="1"/>
    <row r="555" s="592" customFormat="1"/>
    <row r="556" s="592" customFormat="1"/>
    <row r="557" s="592" customFormat="1"/>
    <row r="558" s="592" customFormat="1"/>
    <row r="559" s="592" customFormat="1"/>
    <row r="560" s="592" customFormat="1"/>
    <row r="561" s="592" customFormat="1"/>
    <row r="562" s="592" customFormat="1"/>
    <row r="563" s="592" customFormat="1"/>
    <row r="564" s="592" customFormat="1"/>
    <row r="565" s="592" customFormat="1"/>
    <row r="566" s="592" customFormat="1"/>
    <row r="567" s="592" customFormat="1"/>
    <row r="568" s="592" customFormat="1"/>
    <row r="569" s="592" customFormat="1"/>
    <row r="570" s="592" customFormat="1"/>
    <row r="571" s="592" customFormat="1"/>
    <row r="572" s="592" customFormat="1"/>
    <row r="573" s="592" customFormat="1"/>
    <row r="574" s="592" customFormat="1"/>
    <row r="575" s="592" customFormat="1"/>
    <row r="576" s="592" customFormat="1"/>
    <row r="577" s="592" customFormat="1"/>
    <row r="578" s="592" customFormat="1"/>
    <row r="579" s="592" customFormat="1"/>
    <row r="580" s="592" customFormat="1"/>
    <row r="581" s="592" customFormat="1"/>
    <row r="582" s="592" customFormat="1"/>
    <row r="583" s="592" customFormat="1"/>
    <row r="584" s="592" customFormat="1"/>
    <row r="585" s="592" customFormat="1"/>
    <row r="586" s="592" customFormat="1"/>
    <row r="587" s="592" customFormat="1"/>
    <row r="588" s="592" customFormat="1"/>
    <row r="589" s="592" customFormat="1"/>
    <row r="590" s="592" customFormat="1"/>
    <row r="591" s="592" customFormat="1"/>
    <row r="592" s="592" customFormat="1"/>
    <row r="593" s="592" customFormat="1"/>
    <row r="594" s="592" customFormat="1"/>
    <row r="595" s="592" customFormat="1"/>
    <row r="596" s="592" customFormat="1"/>
    <row r="597" s="592" customFormat="1"/>
    <row r="598" s="592" customFormat="1"/>
    <row r="599" s="592" customFormat="1"/>
    <row r="600" s="592" customFormat="1"/>
    <row r="601" s="592" customFormat="1"/>
  </sheetData>
  <sheetProtection algorithmName="SHA-512" hashValue="9pFMhT8jtAxNchMzAzeOgAvPYMFsJTt894Op3cayZPgZuXvlRpD1nQbF1CVGVTGFCWgaA0R0hW8aMCkTPmSaAQ==" saltValue="SxIUI1ib0YoNkGRyzNtASw==" spinCount="100000" sheet="1" objects="1" scenarios="1"/>
  <mergeCells count="32">
    <mergeCell ref="A14:K14"/>
    <mergeCell ref="A15:K15"/>
    <mergeCell ref="B10:C10"/>
    <mergeCell ref="D10:E10"/>
    <mergeCell ref="B11:C11"/>
    <mergeCell ref="D11:E11"/>
    <mergeCell ref="B12:C12"/>
    <mergeCell ref="D12:E12"/>
    <mergeCell ref="B8:C8"/>
    <mergeCell ref="D8:E8"/>
    <mergeCell ref="B9:C9"/>
    <mergeCell ref="D9:E9"/>
    <mergeCell ref="B13:C13"/>
    <mergeCell ref="D13:E13"/>
    <mergeCell ref="B5:C5"/>
    <mergeCell ref="D5:E5"/>
    <mergeCell ref="B6:C6"/>
    <mergeCell ref="D6:E6"/>
    <mergeCell ref="B7:C7"/>
    <mergeCell ref="D7:E7"/>
    <mergeCell ref="A1:K1"/>
    <mergeCell ref="A2:A4"/>
    <mergeCell ref="B2:C3"/>
    <mergeCell ref="D2:E3"/>
    <mergeCell ref="F2:G2"/>
    <mergeCell ref="H2:I2"/>
    <mergeCell ref="J2:K2"/>
    <mergeCell ref="B4:C4"/>
    <mergeCell ref="D4:E4"/>
    <mergeCell ref="F4:G4"/>
    <mergeCell ref="H4:I4"/>
    <mergeCell ref="J4:K4"/>
  </mergeCells>
  <printOptions horizont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theme="0"/>
    <pageSetUpPr fitToPage="1"/>
  </sheetPr>
  <dimension ref="A1:L59"/>
  <sheetViews>
    <sheetView zoomScaleNormal="100" workbookViewId="0">
      <selection activeCell="A8" sqref="A8:G8"/>
    </sheetView>
  </sheetViews>
  <sheetFormatPr defaultColWidth="8.85546875" defaultRowHeight="12"/>
  <cols>
    <col min="1" max="1" width="6.140625" style="386" customWidth="1"/>
    <col min="2" max="4" width="16.7109375" style="386" customWidth="1"/>
    <col min="5" max="7" width="17.7109375" style="386" customWidth="1"/>
    <col min="8" max="16384" width="8.85546875" style="386"/>
  </cols>
  <sheetData>
    <row r="1" spans="1:7" ht="15" customHeight="1">
      <c r="A1" s="1425"/>
      <c r="B1" s="1425"/>
      <c r="C1" s="1425"/>
      <c r="D1" s="1425"/>
      <c r="E1" s="1425"/>
      <c r="F1" s="1425"/>
      <c r="G1" s="1425"/>
    </row>
    <row r="2" spans="1:7" ht="26.45" customHeight="1">
      <c r="A2" s="1471" t="s">
        <v>3562</v>
      </c>
      <c r="B2" s="1471"/>
      <c r="C2" s="1471"/>
      <c r="D2" s="1471"/>
      <c r="E2" s="1471"/>
      <c r="F2" s="1471"/>
      <c r="G2" s="1471"/>
    </row>
    <row r="3" spans="1:7" ht="15" customHeight="1">
      <c r="A3" s="1459" t="s">
        <v>3563</v>
      </c>
      <c r="B3" s="1459"/>
      <c r="C3" s="1459"/>
      <c r="D3" s="1459"/>
      <c r="E3" s="1459"/>
      <c r="F3" s="1459"/>
      <c r="G3" s="1459"/>
    </row>
    <row r="4" spans="1:7" ht="15" customHeight="1">
      <c r="A4" s="1459" t="s">
        <v>3652</v>
      </c>
      <c r="B4" s="1459"/>
      <c r="C4" s="1459"/>
      <c r="D4" s="1459"/>
      <c r="E4" s="1459"/>
      <c r="F4" s="1459"/>
      <c r="G4" s="1459"/>
    </row>
    <row r="5" spans="1:7" ht="15" customHeight="1">
      <c r="A5" s="1472" t="s">
        <v>3564</v>
      </c>
      <c r="B5" s="1472"/>
      <c r="C5" s="1472"/>
      <c r="D5" s="1472"/>
      <c r="E5" s="1472"/>
      <c r="F5" s="1472"/>
      <c r="G5" s="1472"/>
    </row>
    <row r="6" spans="1:7" ht="15" customHeight="1" thickBot="1">
      <c r="A6" s="1472"/>
      <c r="B6" s="1472"/>
      <c r="C6" s="1472"/>
      <c r="D6" s="1472"/>
      <c r="E6" s="1472"/>
      <c r="F6" s="1472"/>
      <c r="G6" s="1472"/>
    </row>
    <row r="7" spans="1:7" ht="15" customHeight="1">
      <c r="A7" s="1463" t="s">
        <v>3953</v>
      </c>
      <c r="B7" s="1464"/>
      <c r="C7" s="1464"/>
      <c r="D7" s="1464"/>
      <c r="E7" s="871"/>
      <c r="F7" s="871"/>
      <c r="G7" s="1465"/>
    </row>
    <row r="8" spans="1:7" ht="18" customHeight="1">
      <c r="A8" s="1460" t="s">
        <v>167</v>
      </c>
      <c r="B8" s="1461"/>
      <c r="C8" s="1461"/>
      <c r="D8" s="1461"/>
      <c r="E8" s="1461"/>
      <c r="F8" s="1461"/>
      <c r="G8" s="1462"/>
    </row>
    <row r="9" spans="1:7" ht="15" customHeight="1">
      <c r="A9" s="1466" t="s">
        <v>3565</v>
      </c>
      <c r="B9" s="1414"/>
      <c r="C9" s="1414"/>
      <c r="D9" s="1414"/>
      <c r="E9" s="1414"/>
      <c r="F9" s="1414"/>
      <c r="G9" s="1467"/>
    </row>
    <row r="10" spans="1:7" ht="18" customHeight="1">
      <c r="A10" s="1456"/>
      <c r="B10" s="1457"/>
      <c r="C10" s="1457"/>
      <c r="D10" s="1457"/>
      <c r="E10" s="1457"/>
      <c r="F10" s="1457"/>
      <c r="G10" s="1458"/>
    </row>
    <row r="11" spans="1:7" ht="15" customHeight="1">
      <c r="A11" s="1466" t="s">
        <v>3566</v>
      </c>
      <c r="B11" s="1414"/>
      <c r="C11" s="1414"/>
      <c r="D11" s="1414"/>
      <c r="E11" s="1414"/>
      <c r="F11" s="1414"/>
      <c r="G11" s="1467"/>
    </row>
    <row r="12" spans="1:7" ht="18" customHeight="1">
      <c r="A12" s="1456"/>
      <c r="B12" s="1457"/>
      <c r="C12" s="1457"/>
      <c r="D12" s="1457"/>
      <c r="E12" s="1457"/>
      <c r="F12" s="1457"/>
      <c r="G12" s="1458"/>
    </row>
    <row r="13" spans="1:7" ht="5.0999999999999996" customHeight="1" thickBot="1">
      <c r="A13" s="1468"/>
      <c r="B13" s="1469"/>
      <c r="C13" s="1469"/>
      <c r="D13" s="1292"/>
      <c r="E13" s="1292"/>
      <c r="F13" s="1292"/>
      <c r="G13" s="1470"/>
    </row>
    <row r="14" spans="1:7" ht="5.0999999999999996" customHeight="1">
      <c r="A14" s="1445"/>
      <c r="B14" s="1445"/>
      <c r="C14" s="1445"/>
      <c r="D14" s="1445"/>
      <c r="E14" s="1445"/>
      <c r="F14" s="1445"/>
      <c r="G14" s="1445"/>
    </row>
    <row r="15" spans="1:7" ht="18" customHeight="1">
      <c r="A15" s="1455" t="s">
        <v>3653</v>
      </c>
      <c r="B15" s="1455"/>
      <c r="C15" s="681"/>
      <c r="D15" s="681"/>
      <c r="E15" s="681"/>
      <c r="F15" s="449">
        <f>+'DAP1'!F24</f>
        <v>2024</v>
      </c>
      <c r="G15" s="441" t="s">
        <v>3654</v>
      </c>
    </row>
    <row r="16" spans="1:7" ht="5.0999999999999996" customHeight="1" thickBot="1">
      <c r="A16" s="1438"/>
      <c r="B16" s="1438"/>
      <c r="C16" s="1439"/>
      <c r="D16" s="1439"/>
      <c r="E16" s="1439"/>
      <c r="F16" s="1439"/>
      <c r="G16" s="1439"/>
    </row>
    <row r="17" spans="1:11" ht="15" customHeight="1">
      <c r="A17" s="1463" t="s">
        <v>91</v>
      </c>
      <c r="B17" s="1464"/>
      <c r="C17" s="871"/>
      <c r="D17" s="871"/>
      <c r="E17" s="871"/>
      <c r="F17" s="1480" t="s">
        <v>90</v>
      </c>
      <c r="G17" s="1481"/>
    </row>
    <row r="18" spans="1:11" ht="18" customHeight="1">
      <c r="A18" s="1476" t="str">
        <f>+IF(ISBLANK('DAP2'!C45)," ",IF(EXACT(MID('DAP2'!C45,1,1)," ")," ",+MID('DAP2'!C45,1,+FIND(" ",'DAP2'!C45))))</f>
        <v xml:space="preserve"> </v>
      </c>
      <c r="B18" s="1477"/>
      <c r="C18" s="1450"/>
      <c r="D18" s="1451"/>
      <c r="E18" s="421"/>
      <c r="F18" s="1478" t="str">
        <f>+IF(ISBLANK('DAP2'!C45)," ",IF(EXACT(MID('DAP2'!C45,1,1)," ")," ",+MID('DAP2'!C45,+FIND(" ",'DAP2'!C45)+1,20)))</f>
        <v xml:space="preserve"> </v>
      </c>
      <c r="G18" s="1479"/>
    </row>
    <row r="19" spans="1:11" ht="15" customHeight="1">
      <c r="A19" s="1448" t="s">
        <v>141</v>
      </c>
      <c r="B19" s="1474"/>
      <c r="C19" s="1449"/>
      <c r="D19" s="1449"/>
      <c r="E19" s="1414" t="s">
        <v>3567</v>
      </c>
      <c r="F19" s="1052"/>
      <c r="G19" s="1433"/>
    </row>
    <row r="20" spans="1:11" ht="18" customHeight="1">
      <c r="A20" s="1434" t="str">
        <f>+CONCATENATE('DAP2'!H45)</f>
        <v/>
      </c>
      <c r="B20" s="1435"/>
      <c r="C20" s="1473"/>
      <c r="D20" s="442"/>
      <c r="E20" s="1475" t="str">
        <f>+CONCATENATE(ZAKL_DATA!B16," ",ZAKL_DATA!B17,", ",ZAKL_DATA!B18)</f>
        <v xml:space="preserve"> , </v>
      </c>
      <c r="F20" s="1436"/>
      <c r="G20" s="1437"/>
    </row>
    <row r="21" spans="1:11" ht="15" customHeight="1">
      <c r="A21" s="1431"/>
      <c r="B21" s="1432"/>
      <c r="C21" s="1052"/>
      <c r="D21" s="1052"/>
      <c r="E21" s="1052"/>
      <c r="F21" s="1052"/>
      <c r="G21" s="1433"/>
    </row>
    <row r="22" spans="1:11" ht="18" customHeight="1">
      <c r="A22" s="1434"/>
      <c r="B22" s="1435"/>
      <c r="C22" s="1435"/>
      <c r="D22" s="1436"/>
      <c r="E22" s="1436"/>
      <c r="F22" s="1436"/>
      <c r="G22" s="1437"/>
    </row>
    <row r="23" spans="1:11" ht="15" customHeight="1">
      <c r="A23" s="1448"/>
      <c r="B23" s="1449"/>
      <c r="C23" s="1449"/>
      <c r="D23" s="1449"/>
      <c r="E23" s="1449"/>
      <c r="F23" s="1449"/>
      <c r="G23" s="450" t="s">
        <v>43</v>
      </c>
    </row>
    <row r="24" spans="1:11" ht="18" customHeight="1">
      <c r="A24" s="1434"/>
      <c r="B24" s="1435"/>
      <c r="C24" s="1450"/>
      <c r="D24" s="1450"/>
      <c r="E24" s="1451"/>
      <c r="F24" s="417"/>
      <c r="G24" s="448" t="str">
        <f>+CONCATENATE(ZAKL_DATA!B19)</f>
        <v/>
      </c>
    </row>
    <row r="25" spans="1:11" ht="9" customHeight="1" thickBot="1">
      <c r="A25" s="1452"/>
      <c r="B25" s="1453"/>
      <c r="C25" s="1453"/>
      <c r="D25" s="1453"/>
      <c r="E25" s="1131"/>
      <c r="F25" s="1131"/>
      <c r="G25" s="1454"/>
    </row>
    <row r="26" spans="1:11" ht="10.9" customHeight="1">
      <c r="A26" s="1425"/>
      <c r="B26" s="1425"/>
      <c r="C26" s="1425"/>
      <c r="D26" s="1425"/>
      <c r="E26" s="1425"/>
      <c r="F26" s="1425"/>
      <c r="G26" s="1425"/>
    </row>
    <row r="27" spans="1:11" ht="15" customHeight="1">
      <c r="A27" s="451" t="s">
        <v>3655</v>
      </c>
      <c r="B27" s="449">
        <f>+F15</f>
        <v>2024</v>
      </c>
      <c r="C27" s="443" t="s">
        <v>3658</v>
      </c>
      <c r="D27" s="1455" t="s">
        <v>3656</v>
      </c>
      <c r="E27" s="682"/>
      <c r="F27" s="682"/>
      <c r="G27" s="682"/>
    </row>
    <row r="28" spans="1:11" ht="15" customHeight="1" thickBot="1">
      <c r="A28" s="1438" t="s">
        <v>3657</v>
      </c>
      <c r="B28" s="1438"/>
      <c r="C28" s="1439"/>
      <c r="D28" s="1439"/>
      <c r="E28" s="1439"/>
      <c r="F28" s="1439"/>
      <c r="G28" s="1439"/>
      <c r="H28" s="387"/>
      <c r="I28" s="387"/>
      <c r="J28" s="387"/>
      <c r="K28" s="387"/>
    </row>
    <row r="29" spans="1:11" ht="25.9" customHeight="1">
      <c r="A29" s="388"/>
      <c r="B29" s="389" t="s">
        <v>91</v>
      </c>
      <c r="C29" s="389" t="s">
        <v>90</v>
      </c>
      <c r="D29" s="389" t="s">
        <v>141</v>
      </c>
      <c r="E29" s="422" t="s">
        <v>3456</v>
      </c>
      <c r="F29" s="422" t="s">
        <v>3457</v>
      </c>
      <c r="G29" s="390" t="s">
        <v>3659</v>
      </c>
      <c r="H29" s="391"/>
    </row>
    <row r="30" spans="1:11" ht="18" customHeight="1">
      <c r="A30" s="452">
        <v>1</v>
      </c>
      <c r="B30" s="444" t="str">
        <f>+IF(EXACT(MID('DAP3'!B17,1,1),"x")," ",(MID('DAP3'!B17,1,+FIND(" ",'DAP3'!B17))))</f>
        <v xml:space="preserve"> </v>
      </c>
      <c r="C30" s="392" t="str">
        <f>+IF(EXACT(MID('DAP3'!B17,1,1),"x")," ",(MID('DAP3'!B17,+FIND(" ",'DAP3'!B17)+1,20)))</f>
        <v xml:space="preserve"> </v>
      </c>
      <c r="D30" s="392" t="str">
        <f>+IF(EXACT(MID('DAP3'!C17,1,1),"X")," ",CONCATENATE('DAP3'!D17))</f>
        <v/>
      </c>
      <c r="E30" s="447"/>
      <c r="F30" s="447"/>
      <c r="G30" s="393"/>
    </row>
    <row r="31" spans="1:11" ht="18" customHeight="1">
      <c r="A31" s="452">
        <v>2</v>
      </c>
      <c r="B31" s="444" t="str">
        <f>+IF(EXACT(MID('DAP3'!B18,1,1),"x")," ",(MID('DAP3'!B18,1,+FIND(" ",'DAP3'!B18))))</f>
        <v xml:space="preserve"> </v>
      </c>
      <c r="C31" s="392" t="str">
        <f>+IF(EXACT(MID('DAP3'!B18,1,1),"x")," ",(MID('DAP3'!B18,+FIND(" ",'DAP3'!B18)+1,20)))</f>
        <v xml:space="preserve"> </v>
      </c>
      <c r="D31" s="392" t="str">
        <f>+IF(EXACT(MID('DAP3'!C18,1,1),"X")," ",CONCATENATE('DAP3'!D18))</f>
        <v/>
      </c>
      <c r="E31" s="447"/>
      <c r="F31" s="447"/>
      <c r="G31" s="393"/>
    </row>
    <row r="32" spans="1:11" ht="18" customHeight="1">
      <c r="A32" s="452">
        <v>3</v>
      </c>
      <c r="B32" s="444" t="str">
        <f>+IF(EXACT(MID('DAP3'!B19,1,1),"x")," ",(MID('DAP3'!B19,1,+FIND(" ",'DAP3'!B19))))</f>
        <v xml:space="preserve"> </v>
      </c>
      <c r="C32" s="392" t="str">
        <f>+IF(EXACT(MID('DAP3'!B19,1,1),"x")," ",(MID('DAP3'!B19,+FIND(" ",'DAP3'!B19)+1,20)))</f>
        <v xml:space="preserve"> </v>
      </c>
      <c r="D32" s="392" t="str">
        <f>+IF(EXACT(MID('DAP3'!C19,1,1),"X")," ",CONCATENATE('DAP3'!D19))</f>
        <v/>
      </c>
      <c r="E32" s="447"/>
      <c r="F32" s="447"/>
      <c r="G32" s="393"/>
    </row>
    <row r="33" spans="1:7" ht="18" customHeight="1">
      <c r="A33" s="452">
        <v>4</v>
      </c>
      <c r="B33" s="444" t="str">
        <f>+IF(EXACT(MID('DAP3'!B20,1,1),"x")," ",(MID('DAP3'!B20,1,+FIND(" ",'DAP3'!B20))))</f>
        <v xml:space="preserve"> </v>
      </c>
      <c r="C33" s="392" t="str">
        <f>+IF(EXACT(MID('DAP3'!B20,1,1),"x")," ",(MID('DAP3'!B20,+FIND(" ",'DAP3'!B20)+1,20)))</f>
        <v xml:space="preserve"> </v>
      </c>
      <c r="D33" s="392" t="str">
        <f>+IF(EXACT(MID('DAP3'!C20,1,1),"X")," ",CONCATENATE('DAP3'!D20))</f>
        <v/>
      </c>
      <c r="E33" s="447"/>
      <c r="F33" s="447"/>
      <c r="G33" s="393"/>
    </row>
    <row r="34" spans="1:7" ht="18" customHeight="1">
      <c r="A34" s="453" t="s">
        <v>3660</v>
      </c>
      <c r="B34" s="445"/>
      <c r="C34" s="394"/>
      <c r="D34" s="395"/>
      <c r="E34" s="395"/>
      <c r="F34" s="395"/>
      <c r="G34" s="393"/>
    </row>
    <row r="35" spans="1:7" ht="18" customHeight="1">
      <c r="A35" s="453" t="s">
        <v>3661</v>
      </c>
      <c r="B35" s="445"/>
      <c r="C35" s="394"/>
      <c r="D35" s="395"/>
      <c r="E35" s="395"/>
      <c r="F35" s="395"/>
      <c r="G35" s="393"/>
    </row>
    <row r="36" spans="1:7" ht="18" customHeight="1" thickBot="1">
      <c r="A36" s="636" t="s">
        <v>3954</v>
      </c>
      <c r="B36" s="446"/>
      <c r="C36" s="396"/>
      <c r="D36" s="397"/>
      <c r="E36" s="397"/>
      <c r="F36" s="397"/>
      <c r="G36" s="398"/>
    </row>
    <row r="37" spans="1:7" ht="15" customHeight="1">
      <c r="A37" s="1425"/>
      <c r="B37" s="1425"/>
      <c r="C37" s="1425"/>
      <c r="D37" s="1425"/>
      <c r="E37" s="1425"/>
      <c r="F37" s="1425"/>
      <c r="G37" s="1425"/>
    </row>
    <row r="38" spans="1:7" ht="15" customHeight="1">
      <c r="A38" s="1442" t="s">
        <v>3568</v>
      </c>
      <c r="B38" s="1442"/>
      <c r="C38" s="1442"/>
      <c r="D38" s="1442"/>
      <c r="E38" s="1442"/>
      <c r="F38" s="1442"/>
      <c r="G38" s="1442"/>
    </row>
    <row r="39" spans="1:7" ht="15" customHeight="1">
      <c r="A39" s="1413" t="s">
        <v>3955</v>
      </c>
      <c r="B39" s="1052"/>
      <c r="C39" s="1443"/>
      <c r="D39" s="1444"/>
      <c r="E39" s="399" t="s">
        <v>3569</v>
      </c>
      <c r="F39" s="1443"/>
      <c r="G39" s="1444"/>
    </row>
    <row r="40" spans="1:7" ht="15" customHeight="1">
      <c r="A40" s="1445"/>
      <c r="B40" s="1445"/>
      <c r="C40" s="1445"/>
      <c r="D40" s="1445"/>
      <c r="E40" s="1445"/>
      <c r="F40" s="1445"/>
      <c r="G40" s="1445"/>
    </row>
    <row r="41" spans="1:7" ht="15" customHeight="1">
      <c r="A41" s="1414"/>
      <c r="B41" s="1414"/>
      <c r="C41" s="1414"/>
      <c r="D41" s="1414"/>
      <c r="E41" s="399" t="s">
        <v>3662</v>
      </c>
      <c r="F41" s="1446"/>
      <c r="G41" s="1447"/>
    </row>
    <row r="42" spans="1:7" ht="15" customHeight="1">
      <c r="A42" s="655"/>
      <c r="B42" s="655"/>
      <c r="C42" s="655"/>
      <c r="D42" s="655"/>
      <c r="E42" s="1445"/>
      <c r="F42" s="1445"/>
      <c r="G42" s="1445"/>
    </row>
    <row r="43" spans="1:7" ht="15" customHeight="1">
      <c r="A43" s="655"/>
      <c r="B43" s="655"/>
      <c r="C43" s="655"/>
      <c r="D43" s="655"/>
      <c r="E43" s="399" t="s">
        <v>3570</v>
      </c>
      <c r="F43" s="1440">
        <f ca="1">TODAY()</f>
        <v>45664</v>
      </c>
      <c r="G43" s="1441"/>
    </row>
    <row r="44" spans="1:7" ht="15" customHeight="1">
      <c r="A44" s="655"/>
      <c r="B44" s="655"/>
      <c r="C44" s="655"/>
      <c r="D44" s="655"/>
      <c r="E44" s="399"/>
      <c r="F44" s="400"/>
      <c r="G44" s="400"/>
    </row>
    <row r="45" spans="1:7" ht="15" customHeight="1">
      <c r="A45" s="655"/>
      <c r="B45" s="655"/>
      <c r="C45" s="655"/>
      <c r="D45" s="655"/>
      <c r="E45" s="1429" t="s">
        <v>3571</v>
      </c>
      <c r="F45" s="1430"/>
      <c r="G45" s="1430"/>
    </row>
    <row r="46" spans="1:7" ht="15" customHeight="1">
      <c r="A46" s="655"/>
      <c r="B46" s="655"/>
      <c r="C46" s="655"/>
      <c r="D46" s="655"/>
      <c r="E46" s="1415"/>
      <c r="F46" s="1416"/>
      <c r="G46" s="1417"/>
    </row>
    <row r="47" spans="1:7" ht="15" customHeight="1">
      <c r="A47" s="655"/>
      <c r="B47" s="655"/>
      <c r="C47" s="655"/>
      <c r="D47" s="655"/>
      <c r="E47" s="1418"/>
      <c r="F47" s="1419"/>
      <c r="G47" s="1420"/>
    </row>
    <row r="48" spans="1:7" ht="12" customHeight="1">
      <c r="A48" s="655"/>
      <c r="B48" s="655"/>
      <c r="C48" s="655"/>
      <c r="D48" s="655"/>
      <c r="E48" s="1418"/>
      <c r="F48" s="1419"/>
      <c r="G48" s="1420"/>
    </row>
    <row r="49" spans="1:12" ht="12" customHeight="1">
      <c r="A49" s="655"/>
      <c r="B49" s="655"/>
      <c r="C49" s="655"/>
      <c r="D49" s="655"/>
      <c r="E49" s="1421"/>
      <c r="F49" s="1422"/>
      <c r="G49" s="1423"/>
    </row>
    <row r="50" spans="1:12" ht="12" customHeight="1">
      <c r="A50" s="655"/>
      <c r="B50" s="655"/>
      <c r="C50" s="655"/>
      <c r="D50" s="655"/>
      <c r="E50" s="1424"/>
      <c r="F50" s="1424"/>
      <c r="G50" s="1424"/>
    </row>
    <row r="51" spans="1:12">
      <c r="A51" s="1425"/>
      <c r="B51" s="1425"/>
      <c r="C51" s="1425"/>
      <c r="D51" s="1425"/>
      <c r="E51" s="1425"/>
      <c r="F51" s="1425"/>
      <c r="G51" s="1425"/>
    </row>
    <row r="52" spans="1:12">
      <c r="A52" s="1427" t="s">
        <v>3956</v>
      </c>
      <c r="B52" s="1427"/>
      <c r="C52" s="1427"/>
      <c r="D52" s="1427"/>
      <c r="E52" s="1427"/>
      <c r="F52" s="1427"/>
      <c r="G52" s="1427"/>
    </row>
    <row r="53" spans="1:12">
      <c r="A53" s="1425"/>
      <c r="B53" s="1425"/>
      <c r="C53" s="1425"/>
      <c r="D53" s="1425"/>
      <c r="E53" s="1425"/>
      <c r="F53" s="1425"/>
      <c r="G53" s="1425"/>
    </row>
    <row r="54" spans="1:12">
      <c r="A54" s="1428"/>
      <c r="B54" s="1428"/>
      <c r="C54" s="1428"/>
      <c r="D54" s="1428"/>
      <c r="E54" s="1428"/>
      <c r="F54" s="1428"/>
      <c r="G54" s="1428"/>
    </row>
    <row r="55" spans="1:12" ht="15.75">
      <c r="A55" s="1426" t="s">
        <v>3957</v>
      </c>
      <c r="B55" s="1426"/>
      <c r="C55" s="1426"/>
      <c r="D55" s="1426"/>
      <c r="E55" s="1426"/>
      <c r="F55" s="1426"/>
      <c r="G55" s="1426"/>
      <c r="H55" s="401"/>
      <c r="I55" s="401"/>
      <c r="J55" s="401"/>
      <c r="K55" s="401"/>
      <c r="L55" s="401"/>
    </row>
    <row r="56" spans="1:12" ht="66.75" customHeight="1">
      <c r="A56" s="1410" t="s">
        <v>3663</v>
      </c>
      <c r="B56" s="1410"/>
      <c r="C56" s="1410"/>
      <c r="D56" s="1410"/>
      <c r="E56" s="1410"/>
      <c r="F56" s="1410"/>
      <c r="G56" s="1410"/>
      <c r="H56" s="402"/>
      <c r="I56" s="402"/>
      <c r="J56" s="402"/>
      <c r="K56" s="402"/>
      <c r="L56" s="402"/>
    </row>
    <row r="57" spans="1:12">
      <c r="A57" s="1410"/>
      <c r="B57" s="1410"/>
      <c r="C57" s="1410"/>
      <c r="D57" s="1410"/>
      <c r="E57" s="1410"/>
      <c r="F57" s="1410"/>
      <c r="G57" s="1410"/>
    </row>
    <row r="58" spans="1:12">
      <c r="A58" s="1411" t="s">
        <v>3958</v>
      </c>
      <c r="B58" s="1412"/>
      <c r="C58" s="1412"/>
      <c r="D58" s="1412"/>
      <c r="E58" s="1412"/>
      <c r="F58" s="1412"/>
      <c r="G58" s="1412"/>
    </row>
    <row r="59" spans="1:12">
      <c r="A59" s="1412"/>
      <c r="B59" s="1412"/>
      <c r="C59" s="1412"/>
      <c r="D59" s="1412"/>
      <c r="E59" s="1412"/>
      <c r="F59" s="1412"/>
      <c r="G59" s="1412"/>
    </row>
  </sheetData>
  <sheetProtection algorithmName="SHA-512" hashValue="MUdQUckTq/M2YJcjvVEeZAuFaWHBny2+G0o8dT/nE8r2y4tRKrwtdCwWjmS1B9JEBY3KrKeR5XlcbjiURtpL2w==" saltValue="tHaK5s0dikCrjrtBBjmTkA==" spinCount="100000" sheet="1" objects="1" scenarios="1"/>
  <mergeCells count="52">
    <mergeCell ref="A20:C20"/>
    <mergeCell ref="A19:D19"/>
    <mergeCell ref="E19:G19"/>
    <mergeCell ref="E20:G20"/>
    <mergeCell ref="A15:E15"/>
    <mergeCell ref="A16:G16"/>
    <mergeCell ref="A18:D18"/>
    <mergeCell ref="A17:E17"/>
    <mergeCell ref="F18:G18"/>
    <mergeCell ref="F17:G17"/>
    <mergeCell ref="A1:G1"/>
    <mergeCell ref="A2:G2"/>
    <mergeCell ref="A3:G3"/>
    <mergeCell ref="A5:G6"/>
    <mergeCell ref="A9:G9"/>
    <mergeCell ref="A10:G10"/>
    <mergeCell ref="A14:G14"/>
    <mergeCell ref="A4:G4"/>
    <mergeCell ref="A8:G8"/>
    <mergeCell ref="A7:G7"/>
    <mergeCell ref="A11:G11"/>
    <mergeCell ref="A12:G12"/>
    <mergeCell ref="A13:G13"/>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57:G57"/>
    <mergeCell ref="A58:G59"/>
    <mergeCell ref="A39:B39"/>
    <mergeCell ref="A41:D50"/>
    <mergeCell ref="E46:G49"/>
    <mergeCell ref="E50:G50"/>
    <mergeCell ref="A51:G51"/>
    <mergeCell ref="A55:G55"/>
    <mergeCell ref="A56:G56"/>
    <mergeCell ref="A52:G52"/>
    <mergeCell ref="A53:G53"/>
    <mergeCell ref="A54:G54"/>
    <mergeCell ref="E45:G45"/>
  </mergeCells>
  <pageMargins left="0.19685039370078741" right="0.19685039370078741" top="0.39370078740157483" bottom="0.3937007874015748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1">
    <tabColor theme="0"/>
  </sheetPr>
  <dimension ref="A1:F43"/>
  <sheetViews>
    <sheetView workbookViewId="0">
      <selection activeCell="A10" sqref="A10"/>
    </sheetView>
  </sheetViews>
  <sheetFormatPr defaultColWidth="8.85546875" defaultRowHeight="15"/>
  <cols>
    <col min="1" max="1" width="9.5703125" style="403" customWidth="1"/>
    <col min="2" max="2" width="17.28515625" style="403" customWidth="1"/>
    <col min="3" max="3" width="17.85546875" style="403" customWidth="1"/>
    <col min="4" max="4" width="16.28515625" style="403" customWidth="1"/>
    <col min="5" max="5" width="21.5703125" style="403" customWidth="1"/>
    <col min="6" max="6" width="16.7109375" style="403" customWidth="1"/>
    <col min="7" max="16384" width="8.85546875" style="403"/>
  </cols>
  <sheetData>
    <row r="1" spans="1:6" ht="18" customHeight="1">
      <c r="A1" s="1486"/>
      <c r="B1" s="1486"/>
      <c r="C1" s="1486"/>
      <c r="D1" s="1486"/>
      <c r="E1" s="1486"/>
    </row>
    <row r="2" spans="1:6" ht="27.6" customHeight="1">
      <c r="A2" s="1471" t="s">
        <v>3573</v>
      </c>
      <c r="B2" s="1471"/>
      <c r="C2" s="1471"/>
      <c r="D2" s="1471"/>
      <c r="E2" s="1471"/>
      <c r="F2" s="404"/>
    </row>
    <row r="3" spans="1:6" ht="18" customHeight="1">
      <c r="A3" s="1486"/>
      <c r="B3" s="1486"/>
      <c r="C3" s="1486"/>
      <c r="D3" s="1486"/>
      <c r="E3" s="1486"/>
    </row>
    <row r="4" spans="1:6" ht="18" customHeight="1">
      <c r="A4" s="1486"/>
      <c r="B4" s="1486"/>
      <c r="C4" s="1486"/>
      <c r="D4" s="1486"/>
      <c r="E4" s="1486"/>
    </row>
    <row r="5" spans="1:6" ht="18" customHeight="1">
      <c r="A5" s="405" t="s">
        <v>3574</v>
      </c>
      <c r="B5" s="1484" t="str">
        <f>+CONCATENATE('DAP2'!C45)</f>
        <v/>
      </c>
      <c r="C5" s="1484"/>
      <c r="D5" s="405" t="s">
        <v>37</v>
      </c>
      <c r="E5" s="406" t="str">
        <f>+CONCATENATE('DAP2'!H45)</f>
        <v/>
      </c>
    </row>
    <row r="6" spans="1:6" ht="18" customHeight="1">
      <c r="A6" s="1445"/>
      <c r="B6" s="1445"/>
      <c r="C6" s="1445"/>
      <c r="D6" s="1445"/>
      <c r="E6" s="1445"/>
    </row>
    <row r="7" spans="1:6" ht="18" customHeight="1">
      <c r="A7" s="405" t="s">
        <v>3575</v>
      </c>
      <c r="B7" s="1484" t="str">
        <f>+CONCATENATE(ZAKL_DATA!B16," ",ZAKL_DATA!B17,", ",ZAKL_DATA!B18,", PSČ ",ZAKL_DATA!B19)</f>
        <v xml:space="preserve"> , , PSČ </v>
      </c>
      <c r="C7" s="1484"/>
      <c r="D7" s="1484"/>
      <c r="E7" s="1484"/>
    </row>
    <row r="8" spans="1:6" ht="18" customHeight="1">
      <c r="A8" s="405"/>
      <c r="B8" s="405"/>
      <c r="C8" s="405"/>
      <c r="D8" s="405"/>
      <c r="E8" s="405"/>
    </row>
    <row r="9" spans="1:6" ht="18" customHeight="1">
      <c r="A9" s="1482" t="s">
        <v>3951</v>
      </c>
      <c r="B9" s="1482"/>
      <c r="C9" s="1482"/>
      <c r="D9" s="1482"/>
      <c r="E9" s="1482"/>
    </row>
    <row r="10" spans="1:6" ht="18" customHeight="1">
      <c r="A10" s="399"/>
      <c r="B10" s="407" t="s">
        <v>90</v>
      </c>
      <c r="C10" s="407" t="s">
        <v>91</v>
      </c>
      <c r="D10" s="407" t="s">
        <v>141</v>
      </c>
      <c r="E10" s="408"/>
    </row>
    <row r="11" spans="1:6" ht="18" customHeight="1">
      <c r="A11" s="399" t="s">
        <v>129</v>
      </c>
      <c r="B11" s="409" t="str">
        <f>+Potvr_ZAM!C30</f>
        <v xml:space="preserve"> </v>
      </c>
      <c r="C11" s="409" t="str">
        <f>+Potvr_ZAM!B30</f>
        <v xml:space="preserve"> </v>
      </c>
      <c r="D11" s="409" t="str">
        <f>+CONCATENATE(Potvr_ZAM!D30)</f>
        <v/>
      </c>
      <c r="E11" s="410"/>
    </row>
    <row r="12" spans="1:6" ht="18" customHeight="1">
      <c r="A12" s="399" t="s">
        <v>130</v>
      </c>
      <c r="B12" s="409" t="str">
        <f>+Potvr_ZAM!C31</f>
        <v xml:space="preserve"> </v>
      </c>
      <c r="C12" s="409" t="str">
        <f>+Potvr_ZAM!B31</f>
        <v xml:space="preserve"> </v>
      </c>
      <c r="D12" s="409" t="str">
        <f>+CONCATENATE(Potvr_ZAM!D31)</f>
        <v/>
      </c>
      <c r="E12" s="410"/>
    </row>
    <row r="13" spans="1:6" ht="18" customHeight="1">
      <c r="A13" s="399" t="s">
        <v>131</v>
      </c>
      <c r="B13" s="409" t="str">
        <f>+Potvr_ZAM!C32</f>
        <v xml:space="preserve"> </v>
      </c>
      <c r="C13" s="409" t="str">
        <f>+Potvr_ZAM!B32</f>
        <v xml:space="preserve"> </v>
      </c>
      <c r="D13" s="409" t="str">
        <f>+CONCATENATE(Potvr_ZAM!D32)</f>
        <v/>
      </c>
      <c r="E13" s="410"/>
    </row>
    <row r="14" spans="1:6" ht="18" customHeight="1">
      <c r="A14" s="399" t="s">
        <v>304</v>
      </c>
      <c r="B14" s="409" t="str">
        <f>+Potvr_ZAM!C33</f>
        <v xml:space="preserve"> </v>
      </c>
      <c r="C14" s="409" t="str">
        <f>+Potvr_ZAM!B33</f>
        <v xml:space="preserve"> </v>
      </c>
      <c r="D14" s="409" t="str">
        <f>+CONCATENATE(Potvr_ZAM!D33)</f>
        <v/>
      </c>
      <c r="E14" s="410"/>
    </row>
    <row r="15" spans="1:6" ht="18" customHeight="1">
      <c r="A15" s="399" t="s">
        <v>96</v>
      </c>
      <c r="B15" s="409" t="str">
        <f>+CONCATENATE(Potvr_ZAM!C34)</f>
        <v/>
      </c>
      <c r="C15" s="409" t="str">
        <f>+CONCATENATE(Potvr_ZAM!B34)</f>
        <v/>
      </c>
      <c r="D15" s="409" t="str">
        <f>+CONCATENATE(Potvr_ZAM!D34)</f>
        <v/>
      </c>
      <c r="E15" s="410"/>
    </row>
    <row r="16" spans="1:6" ht="18" customHeight="1">
      <c r="A16" s="399" t="s">
        <v>303</v>
      </c>
      <c r="B16" s="409" t="str">
        <f>+CONCATENATE(Potvr_ZAM!C35)</f>
        <v/>
      </c>
      <c r="C16" s="409" t="str">
        <f>+CONCATENATE(Potvr_ZAM!B35)</f>
        <v/>
      </c>
      <c r="D16" s="409" t="str">
        <f>+CONCATENATE(Potvr_ZAM!D35)</f>
        <v/>
      </c>
      <c r="E16" s="410"/>
    </row>
    <row r="17" spans="1:5" ht="18" customHeight="1">
      <c r="A17" s="399" t="s">
        <v>302</v>
      </c>
      <c r="B17" s="409" t="str">
        <f>+CONCATENATE(Potvr_ZAM!C36)</f>
        <v/>
      </c>
      <c r="C17" s="409" t="str">
        <f>+CONCATENATE(Potvr_ZAM!B36)</f>
        <v/>
      </c>
      <c r="D17" s="409" t="str">
        <f>+CONCATENATE(Potvr_ZAM!D36)</f>
        <v/>
      </c>
      <c r="E17" s="410"/>
    </row>
    <row r="18" spans="1:5" ht="18" customHeight="1">
      <c r="A18" s="1445"/>
      <c r="B18" s="1445"/>
      <c r="C18" s="1445"/>
      <c r="D18" s="1445"/>
      <c r="E18" s="1445"/>
    </row>
    <row r="19" spans="1:5" ht="18" customHeight="1">
      <c r="A19" s="1445"/>
      <c r="B19" s="1445"/>
      <c r="C19" s="1445"/>
      <c r="D19" s="1445"/>
      <c r="E19" s="1445"/>
    </row>
    <row r="20" spans="1:5" ht="18" customHeight="1">
      <c r="A20" s="405" t="s">
        <v>3441</v>
      </c>
      <c r="B20" s="411">
        <f ca="1">TODAY()</f>
        <v>45664</v>
      </c>
      <c r="C20" s="1445"/>
      <c r="D20" s="1445"/>
      <c r="E20" s="1445"/>
    </row>
    <row r="21" spans="1:5" ht="18" customHeight="1">
      <c r="A21" s="1445"/>
      <c r="B21" s="1445"/>
      <c r="C21" s="1445"/>
      <c r="D21" s="1483"/>
      <c r="E21" s="1483"/>
    </row>
    <row r="22" spans="1:5" ht="18" customHeight="1">
      <c r="A22" s="1445"/>
      <c r="B22" s="1445"/>
      <c r="C22" s="1445"/>
      <c r="D22" s="1484"/>
      <c r="E22" s="1484"/>
    </row>
    <row r="23" spans="1:5" ht="18" customHeight="1">
      <c r="A23" s="1445"/>
      <c r="B23" s="1445"/>
      <c r="C23" s="1445"/>
      <c r="D23" s="1485" t="s">
        <v>3576</v>
      </c>
      <c r="E23" s="1485"/>
    </row>
    <row r="24" spans="1:5" ht="18" customHeight="1">
      <c r="A24" s="412"/>
      <c r="B24" s="412"/>
      <c r="C24" s="412"/>
      <c r="D24" s="412"/>
      <c r="E24" s="412"/>
    </row>
    <row r="25" spans="1:5">
      <c r="A25" s="412"/>
      <c r="B25" s="412"/>
      <c r="C25" s="412"/>
      <c r="D25" s="412"/>
      <c r="E25" s="412"/>
    </row>
    <row r="26" spans="1:5">
      <c r="A26" s="412"/>
      <c r="B26" s="412"/>
      <c r="C26" s="412"/>
      <c r="D26" s="412"/>
      <c r="E26" s="412"/>
    </row>
    <row r="27" spans="1:5">
      <c r="A27" s="412"/>
      <c r="B27" s="412"/>
      <c r="C27" s="412"/>
      <c r="D27" s="412"/>
      <c r="E27" s="412"/>
    </row>
    <row r="28" spans="1:5">
      <c r="A28" s="412"/>
      <c r="B28" s="412"/>
      <c r="C28" s="412"/>
      <c r="D28" s="412"/>
      <c r="E28" s="412"/>
    </row>
    <row r="29" spans="1:5">
      <c r="A29" s="412"/>
      <c r="B29" s="412"/>
      <c r="C29" s="412"/>
      <c r="D29" s="412"/>
      <c r="E29" s="412"/>
    </row>
    <row r="30" spans="1:5">
      <c r="A30" s="412"/>
      <c r="B30" s="412"/>
      <c r="C30" s="412"/>
      <c r="D30" s="412"/>
      <c r="E30" s="412"/>
    </row>
    <row r="31" spans="1:5">
      <c r="A31" s="412"/>
      <c r="B31" s="412"/>
      <c r="C31" s="412"/>
      <c r="D31" s="412"/>
      <c r="E31" s="412"/>
    </row>
    <row r="32" spans="1:5">
      <c r="A32" s="412"/>
      <c r="B32" s="412"/>
      <c r="C32" s="412"/>
      <c r="D32" s="412"/>
      <c r="E32" s="412"/>
    </row>
    <row r="33" spans="1:5">
      <c r="A33" s="412"/>
      <c r="B33" s="412"/>
      <c r="C33" s="412"/>
      <c r="D33" s="412"/>
      <c r="E33" s="412"/>
    </row>
    <row r="34" spans="1:5">
      <c r="A34" s="412"/>
      <c r="B34" s="412"/>
      <c r="C34" s="412"/>
      <c r="D34" s="412"/>
      <c r="E34" s="412"/>
    </row>
    <row r="35" spans="1:5">
      <c r="A35" s="412"/>
      <c r="B35" s="412"/>
      <c r="C35" s="412"/>
      <c r="D35" s="412"/>
      <c r="E35" s="412"/>
    </row>
    <row r="36" spans="1:5">
      <c r="A36" s="412"/>
      <c r="B36" s="412"/>
      <c r="C36" s="412"/>
      <c r="D36" s="412"/>
      <c r="E36" s="412"/>
    </row>
    <row r="37" spans="1:5">
      <c r="A37" s="412"/>
      <c r="B37" s="412"/>
      <c r="C37" s="412"/>
      <c r="D37" s="412"/>
      <c r="E37" s="412"/>
    </row>
    <row r="38" spans="1:5">
      <c r="A38" s="412"/>
      <c r="B38" s="412"/>
      <c r="C38" s="412"/>
      <c r="D38" s="412"/>
      <c r="E38" s="412"/>
    </row>
    <row r="39" spans="1:5">
      <c r="A39" s="412"/>
      <c r="B39" s="412"/>
      <c r="C39" s="412"/>
      <c r="D39" s="412"/>
      <c r="E39" s="412"/>
    </row>
    <row r="40" spans="1:5">
      <c r="A40" s="412"/>
      <c r="B40" s="412"/>
      <c r="C40" s="412"/>
      <c r="D40" s="412"/>
      <c r="E40" s="412"/>
    </row>
    <row r="41" spans="1:5">
      <c r="A41" s="412"/>
      <c r="B41" s="412"/>
      <c r="C41" s="412"/>
      <c r="D41" s="412"/>
      <c r="E41" s="412"/>
    </row>
    <row r="42" spans="1:5">
      <c r="A42" s="412"/>
      <c r="B42" s="412"/>
      <c r="C42" s="412"/>
      <c r="D42" s="412"/>
      <c r="E42" s="412"/>
    </row>
    <row r="43" spans="1:5">
      <c r="A43" s="412"/>
      <c r="B43" s="412"/>
      <c r="C43" s="412"/>
      <c r="D43" s="412"/>
      <c r="E43" s="412"/>
    </row>
  </sheetData>
  <sheetProtection algorithmName="SHA-512" hashValue="AXptECsJrj+Uz6FhUhVe4MDBjALogAuPskJJTW56SvKSOBnA4WUdHp6L4PultGu/dqAk+nvs9sejTr49+P/8zg==" saltValue="pNJ+VttzEPslOKwYGnZvuA=="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27" right="0.39370078740157483" top="0.39370078740157483" bottom="0.3937007874015748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2">
    <tabColor rgb="FFFFFF99"/>
    <pageSetUpPr fitToPage="1"/>
  </sheetPr>
  <dimension ref="A1:BM163"/>
  <sheetViews>
    <sheetView workbookViewId="0">
      <selection activeCell="A6" sqref="A6:F6"/>
    </sheetView>
  </sheetViews>
  <sheetFormatPr defaultRowHeight="12.75"/>
  <cols>
    <col min="1" max="1" width="21.7109375" customWidth="1"/>
    <col min="2" max="29" width="3.28515625" customWidth="1"/>
    <col min="30" max="30" width="4" customWidth="1"/>
    <col min="31" max="32" width="3.28515625" customWidth="1"/>
    <col min="33" max="33" width="9.140625" style="21"/>
    <col min="34" max="34" width="9.140625" style="21" hidden="1" customWidth="1"/>
    <col min="35" max="47" width="3.28515625" style="21" hidden="1" customWidth="1"/>
    <col min="48" max="65" width="9.140625" style="21"/>
  </cols>
  <sheetData>
    <row r="1" spans="1:32" ht="18">
      <c r="A1" s="283"/>
      <c r="B1" s="659" t="s">
        <v>3977</v>
      </c>
      <c r="C1" s="1599"/>
      <c r="D1" s="1599"/>
      <c r="E1" s="1599"/>
      <c r="F1" s="1599"/>
      <c r="G1" s="1599"/>
      <c r="H1" s="1599"/>
      <c r="I1" s="1599"/>
      <c r="J1" s="1599"/>
      <c r="K1" s="1599"/>
      <c r="L1" s="1599"/>
      <c r="M1" s="1599"/>
      <c r="N1" s="1599"/>
      <c r="O1" s="1599"/>
      <c r="P1" s="1599"/>
      <c r="Q1" s="1599"/>
      <c r="R1" s="1599"/>
      <c r="S1" s="1599"/>
      <c r="T1" s="1599"/>
      <c r="U1" s="1599"/>
      <c r="V1" s="1599"/>
      <c r="W1" s="1599"/>
      <c r="X1" s="1599"/>
      <c r="Y1" s="1599"/>
      <c r="Z1" s="1599"/>
      <c r="AA1" s="1614"/>
      <c r="AB1" s="1614"/>
      <c r="AC1" s="1614"/>
      <c r="AD1" s="1614"/>
      <c r="AE1" s="1614"/>
      <c r="AF1" s="266"/>
    </row>
    <row r="2" spans="1:32">
      <c r="A2" s="292"/>
      <c r="B2" s="1600" t="s">
        <v>232</v>
      </c>
      <c r="C2" s="1599"/>
      <c r="D2" s="1599"/>
      <c r="E2" s="1599"/>
      <c r="F2" s="1599"/>
      <c r="G2" s="1599"/>
      <c r="H2" s="1599"/>
      <c r="I2" s="1599"/>
      <c r="J2" s="1599"/>
      <c r="K2" s="1599"/>
      <c r="L2" s="1599"/>
      <c r="M2" s="1599"/>
      <c r="N2" s="1599"/>
      <c r="O2" s="1599"/>
      <c r="P2" s="1599"/>
      <c r="Q2" s="1599"/>
      <c r="R2" s="1599"/>
      <c r="S2" s="1599"/>
      <c r="T2" s="1599"/>
      <c r="U2" s="1599"/>
      <c r="V2" s="1599"/>
      <c r="W2" s="1599"/>
      <c r="X2" s="1599"/>
      <c r="Y2" s="1599"/>
      <c r="Z2" s="1599"/>
      <c r="AA2" s="1614"/>
      <c r="AB2" s="1614"/>
      <c r="AC2" s="1614"/>
      <c r="AD2" s="1614"/>
      <c r="AE2" s="1614"/>
      <c r="AF2" s="266"/>
    </row>
    <row r="3" spans="1:32">
      <c r="A3" s="1599"/>
      <c r="B3" s="1599"/>
      <c r="C3" s="1599"/>
      <c r="D3" s="267"/>
      <c r="E3" s="1602"/>
      <c r="F3" s="1602"/>
      <c r="G3" s="1602"/>
      <c r="H3" s="1602"/>
      <c r="I3" s="1602"/>
      <c r="J3" s="293"/>
      <c r="K3" s="293" t="s">
        <v>316</v>
      </c>
      <c r="L3" s="293"/>
      <c r="M3" s="293"/>
      <c r="N3" s="293"/>
      <c r="O3" s="293"/>
      <c r="P3" s="293"/>
      <c r="Q3" s="293" t="s">
        <v>317</v>
      </c>
      <c r="R3" s="293"/>
      <c r="S3" s="1601"/>
      <c r="T3" s="1601"/>
      <c r="U3" s="1601"/>
      <c r="V3" s="1601"/>
      <c r="W3" s="1601"/>
      <c r="X3" s="293"/>
      <c r="Y3" s="293"/>
      <c r="Z3" s="293"/>
      <c r="AA3" s="1603"/>
      <c r="AB3" s="1603"/>
      <c r="AC3" s="1603"/>
      <c r="AD3" s="1603"/>
      <c r="AE3" s="1603"/>
      <c r="AF3" s="286"/>
    </row>
    <row r="4" spans="1:32" ht="12.95" customHeight="1">
      <c r="A4" s="1603"/>
      <c r="B4" s="1603"/>
      <c r="C4" s="1603"/>
      <c r="D4" s="1603"/>
      <c r="E4" s="1603"/>
      <c r="F4" s="1603"/>
      <c r="G4" s="1603"/>
      <c r="H4" s="1603"/>
      <c r="I4" s="1603"/>
      <c r="J4" s="1604"/>
      <c r="K4" s="268" t="s">
        <v>246</v>
      </c>
      <c r="L4" s="1615"/>
      <c r="M4" s="1616"/>
      <c r="N4" s="1616"/>
      <c r="O4" s="1616"/>
      <c r="P4" s="1617"/>
      <c r="Q4" s="268"/>
      <c r="R4" s="1612"/>
      <c r="S4" s="1613"/>
      <c r="T4" s="1613"/>
      <c r="U4" s="1613"/>
      <c r="V4" s="1613"/>
      <c r="W4" s="1613"/>
      <c r="X4" s="1613"/>
      <c r="Y4" s="1613"/>
      <c r="Z4" s="1613"/>
      <c r="AA4" s="1613"/>
      <c r="AB4" s="1613"/>
      <c r="AC4" s="1613"/>
      <c r="AD4" s="1613"/>
      <c r="AE4" s="1613"/>
      <c r="AF4" s="1613"/>
    </row>
    <row r="5" spans="1:32" ht="12.95" customHeight="1">
      <c r="A5" s="1571" t="s">
        <v>3982</v>
      </c>
      <c r="B5" s="1571"/>
      <c r="C5" s="1571"/>
      <c r="D5" s="1571"/>
      <c r="E5" s="1571"/>
      <c r="F5" s="1571"/>
      <c r="G5" s="1493"/>
      <c r="H5" s="1052"/>
      <c r="I5" s="1052"/>
      <c r="J5" s="1052"/>
      <c r="K5" s="1052"/>
      <c r="L5" s="1052"/>
      <c r="M5" s="1052"/>
      <c r="N5" s="1052"/>
      <c r="O5" s="1052"/>
      <c r="P5" s="1052"/>
      <c r="Q5" s="1052"/>
      <c r="R5" s="1052"/>
      <c r="S5" s="1052"/>
      <c r="T5" s="1052"/>
      <c r="U5" s="1563" t="s">
        <v>3559</v>
      </c>
      <c r="V5" s="1563"/>
      <c r="W5" s="1564"/>
      <c r="X5" s="1564"/>
      <c r="Y5" s="1564"/>
      <c r="Z5" s="1565"/>
      <c r="AA5" s="1565"/>
      <c r="AB5" s="1565"/>
      <c r="AC5" s="1565"/>
      <c r="AD5" s="1565"/>
      <c r="AE5" s="1565"/>
      <c r="AF5" s="1565"/>
    </row>
    <row r="6" spans="1:32" ht="18" customHeight="1">
      <c r="A6" s="1572" t="str">
        <f>CONCATENATE(+ZAKL_DATA!B21)</f>
        <v/>
      </c>
      <c r="B6" s="1573"/>
      <c r="C6" s="1573"/>
      <c r="D6" s="1573"/>
      <c r="E6" s="1573"/>
      <c r="F6" s="1574"/>
      <c r="G6" s="1052"/>
      <c r="H6" s="1052"/>
      <c r="I6" s="1052"/>
      <c r="J6" s="1052"/>
      <c r="K6" s="1052"/>
      <c r="L6" s="1052"/>
      <c r="M6" s="1052"/>
      <c r="N6" s="1052"/>
      <c r="O6" s="1052"/>
      <c r="P6" s="1052"/>
      <c r="Q6" s="1052"/>
      <c r="R6" s="1052"/>
      <c r="S6" s="1052"/>
      <c r="T6" s="1052"/>
      <c r="U6" s="1558" t="str">
        <f>+CONCATENATE(ZAKL_DATA!B11)</f>
        <v/>
      </c>
      <c r="V6" s="1559"/>
      <c r="W6" s="1560"/>
      <c r="X6" s="1560"/>
      <c r="Y6" s="1560"/>
      <c r="Z6" s="1561"/>
      <c r="AA6" s="1561"/>
      <c r="AB6" s="1561"/>
      <c r="AC6" s="1561"/>
      <c r="AD6" s="1561"/>
      <c r="AE6" s="1561"/>
      <c r="AF6" s="1562"/>
    </row>
    <row r="7" spans="1:32" ht="9.9499999999999993" customHeight="1">
      <c r="A7" s="1605"/>
      <c r="B7" s="780"/>
      <c r="C7" s="780"/>
      <c r="D7" s="780"/>
      <c r="E7" s="780"/>
      <c r="F7" s="780"/>
      <c r="G7" s="780"/>
      <c r="H7" s="780"/>
      <c r="I7" s="780"/>
      <c r="J7" s="780"/>
      <c r="K7" s="780"/>
      <c r="L7" s="780"/>
      <c r="M7" s="780"/>
      <c r="N7" s="780"/>
      <c r="O7" s="780"/>
      <c r="P7" s="780"/>
      <c r="Q7" s="780"/>
      <c r="R7" s="780"/>
      <c r="S7" s="780"/>
      <c r="T7" s="780"/>
      <c r="U7" s="780"/>
      <c r="V7" s="780"/>
      <c r="W7" s="780"/>
      <c r="X7" s="780"/>
      <c r="Y7" s="780"/>
      <c r="Z7" s="780"/>
      <c r="AA7" s="780"/>
      <c r="AB7" s="780"/>
      <c r="AC7" s="780"/>
      <c r="AD7" s="780"/>
      <c r="AE7" s="780"/>
      <c r="AF7" s="780"/>
    </row>
    <row r="8" spans="1:32">
      <c r="A8" s="1517" t="s">
        <v>296</v>
      </c>
      <c r="B8" s="1606"/>
      <c r="C8" s="1606"/>
      <c r="D8" s="1606"/>
      <c r="E8" s="1606"/>
      <c r="F8" s="1606"/>
      <c r="G8" s="1606"/>
      <c r="H8" s="1606"/>
      <c r="I8" s="1606"/>
      <c r="J8" s="1606"/>
      <c r="K8" s="1606"/>
      <c r="L8" s="1606"/>
      <c r="M8" s="1606"/>
      <c r="N8" s="1606"/>
      <c r="O8" s="1606"/>
      <c r="P8" s="1606"/>
      <c r="Q8" s="1606"/>
      <c r="R8" s="1606"/>
      <c r="S8" s="1606"/>
      <c r="T8" s="1606"/>
      <c r="U8" s="1606"/>
      <c r="V8" s="1606"/>
      <c r="W8" s="1606"/>
      <c r="X8" s="1606"/>
      <c r="Y8" s="1606"/>
      <c r="Z8" s="1606"/>
      <c r="AA8" s="1607"/>
      <c r="AB8" s="1607"/>
      <c r="AC8" s="1607"/>
      <c r="AD8" s="1607"/>
      <c r="AE8" s="1607"/>
      <c r="AF8" s="1608"/>
    </row>
    <row r="9" spans="1:32" ht="11.1" customHeight="1">
      <c r="A9" s="1509" t="s">
        <v>154</v>
      </c>
      <c r="B9" s="1493"/>
      <c r="C9" s="1493"/>
      <c r="D9" s="1493"/>
      <c r="E9" s="1493"/>
      <c r="F9" s="1493"/>
      <c r="G9" s="287"/>
      <c r="H9" s="1493" t="s">
        <v>155</v>
      </c>
      <c r="I9" s="1493"/>
      <c r="J9" s="1493"/>
      <c r="K9" s="287"/>
      <c r="L9" s="287"/>
      <c r="M9" s="287"/>
      <c r="N9" s="287"/>
      <c r="O9" s="287"/>
      <c r="P9" s="287"/>
      <c r="Q9" s="1622" t="s">
        <v>156</v>
      </c>
      <c r="R9" s="1511"/>
      <c r="S9" s="1511"/>
      <c r="T9" s="1511"/>
      <c r="U9" s="1511"/>
      <c r="V9" s="1511"/>
      <c r="W9" s="1511"/>
      <c r="X9" s="287"/>
      <c r="Y9" s="1546" t="s">
        <v>3746</v>
      </c>
      <c r="Z9" s="1547"/>
      <c r="AA9" s="1547"/>
      <c r="AB9" s="1547"/>
      <c r="AC9" s="1547"/>
      <c r="AD9" s="1547"/>
      <c r="AE9" s="1547"/>
      <c r="AF9" s="1548"/>
    </row>
    <row r="10" spans="1:32" ht="18" customHeight="1">
      <c r="A10" s="1576">
        <f>+'DAP1'!B28</f>
        <v>0</v>
      </c>
      <c r="B10" s="1577"/>
      <c r="C10" s="1577"/>
      <c r="D10" s="1577"/>
      <c r="E10" s="1577"/>
      <c r="F10" s="1519"/>
      <c r="G10" s="288"/>
      <c r="H10" s="1567">
        <f>+'DAP1'!J28</f>
        <v>0</v>
      </c>
      <c r="I10" s="1568"/>
      <c r="J10" s="1568"/>
      <c r="K10" s="1569"/>
      <c r="L10" s="1569"/>
      <c r="M10" s="1569"/>
      <c r="N10" s="1511"/>
      <c r="O10" s="1512"/>
      <c r="P10" s="485"/>
      <c r="Q10" s="1566" t="str">
        <f>+CONCATENATE(+ZAKL_DATA!B7)</f>
        <v/>
      </c>
      <c r="R10" s="1538"/>
      <c r="S10" s="1538"/>
      <c r="T10" s="1538"/>
      <c r="U10" s="1538"/>
      <c r="V10" s="1538"/>
      <c r="W10" s="1539"/>
      <c r="X10" s="485"/>
      <c r="Y10" s="1621" t="str">
        <f>+'DAP1'!A9</f>
        <v/>
      </c>
      <c r="Z10" s="1511"/>
      <c r="AA10" s="1511"/>
      <c r="AB10" s="1511"/>
      <c r="AC10" s="1511"/>
      <c r="AD10" s="1511"/>
      <c r="AE10" s="1511"/>
      <c r="AF10" s="1512"/>
    </row>
    <row r="11" spans="1:32" ht="11.1" customHeight="1">
      <c r="A11" s="1533" t="s">
        <v>3747</v>
      </c>
      <c r="B11" s="1511"/>
      <c r="C11" s="287"/>
      <c r="D11" s="1544" t="s">
        <v>3718</v>
      </c>
      <c r="E11" s="1503"/>
      <c r="F11" s="1503"/>
      <c r="G11" s="1503"/>
      <c r="H11" s="1503"/>
      <c r="I11" s="1503"/>
      <c r="J11" s="1503"/>
      <c r="K11" s="1503"/>
      <c r="L11" s="1503"/>
      <c r="M11" s="1503"/>
      <c r="N11" s="1503"/>
      <c r="O11" s="287"/>
      <c r="P11" s="1575" t="s">
        <v>3719</v>
      </c>
      <c r="Q11" s="1503"/>
      <c r="R11" s="1503"/>
      <c r="S11" s="1503"/>
      <c r="T11" s="1503"/>
      <c r="U11" s="287"/>
      <c r="V11" s="1544" t="s">
        <v>3720</v>
      </c>
      <c r="W11" s="1503"/>
      <c r="X11" s="1503"/>
      <c r="Y11" s="1503"/>
      <c r="Z11" s="1503"/>
      <c r="AA11" s="1503"/>
      <c r="AB11" s="1503"/>
      <c r="AC11" s="1503"/>
      <c r="AD11" s="1503"/>
      <c r="AE11" s="1503"/>
      <c r="AF11" s="1570"/>
    </row>
    <row r="12" spans="1:32" ht="18" customHeight="1">
      <c r="A12" s="1531">
        <f>+ZAKL_DATA!B8</f>
        <v>0</v>
      </c>
      <c r="B12" s="1532"/>
      <c r="C12" s="290"/>
      <c r="D12" s="1545">
        <f>+'DAP1'!G31</f>
        <v>0</v>
      </c>
      <c r="E12" s="1535"/>
      <c r="F12" s="1535"/>
      <c r="G12" s="1535"/>
      <c r="H12" s="1535"/>
      <c r="I12" s="1535"/>
      <c r="J12" s="1535"/>
      <c r="K12" s="1535"/>
      <c r="L12" s="1535"/>
      <c r="M12" s="1535"/>
      <c r="N12" s="1536"/>
      <c r="O12" s="290"/>
      <c r="P12" s="1549">
        <f>+'DAP1'!L31</f>
        <v>0</v>
      </c>
      <c r="Q12" s="1511"/>
      <c r="R12" s="1511"/>
      <c r="S12" s="1511"/>
      <c r="T12" s="1512"/>
      <c r="U12" s="505"/>
      <c r="V12" s="1534">
        <f>+'DAP1'!B31</f>
        <v>0</v>
      </c>
      <c r="W12" s="1535"/>
      <c r="X12" s="1535"/>
      <c r="Y12" s="1535"/>
      <c r="Z12" s="1535"/>
      <c r="AA12" s="1535"/>
      <c r="AB12" s="1535"/>
      <c r="AC12" s="1535"/>
      <c r="AD12" s="1535"/>
      <c r="AE12" s="1535"/>
      <c r="AF12" s="1536"/>
    </row>
    <row r="13" spans="1:32" ht="11.1" customHeight="1">
      <c r="A13" s="1533" t="s">
        <v>3721</v>
      </c>
      <c r="B13" s="1511"/>
      <c r="C13" s="287"/>
      <c r="D13" s="1544" t="s">
        <v>3722</v>
      </c>
      <c r="E13" s="1503"/>
      <c r="F13" s="1503"/>
      <c r="G13" s="1503"/>
      <c r="H13" s="1503"/>
      <c r="I13" s="1503"/>
      <c r="J13" s="1503"/>
      <c r="K13" s="1503"/>
      <c r="L13" s="1503"/>
      <c r="M13" s="1503"/>
      <c r="N13" s="1503"/>
      <c r="O13" s="287"/>
      <c r="P13" s="1540" t="s">
        <v>3749</v>
      </c>
      <c r="Q13" s="1449"/>
      <c r="R13" s="1449"/>
      <c r="S13" s="1449"/>
      <c r="T13" s="1449"/>
      <c r="U13" s="1052"/>
      <c r="V13" s="1449"/>
      <c r="W13" s="1449"/>
      <c r="X13" s="287"/>
      <c r="Y13" s="1546" t="s">
        <v>3748</v>
      </c>
      <c r="Z13" s="1547"/>
      <c r="AA13" s="1547"/>
      <c r="AB13" s="1547"/>
      <c r="AC13" s="1547"/>
      <c r="AD13" s="1547"/>
      <c r="AE13" s="1547"/>
      <c r="AF13" s="1548"/>
    </row>
    <row r="14" spans="1:32" ht="18" customHeight="1">
      <c r="A14" s="1549">
        <f>+'DAP1'!B32</f>
        <v>0</v>
      </c>
      <c r="B14" s="1512"/>
      <c r="C14" s="290"/>
      <c r="D14" s="1545">
        <f>+'DAP1'!K32</f>
        <v>0</v>
      </c>
      <c r="E14" s="1535"/>
      <c r="F14" s="1535"/>
      <c r="G14" s="1535"/>
      <c r="H14" s="1535"/>
      <c r="I14" s="1535"/>
      <c r="J14" s="1535"/>
      <c r="K14" s="1535"/>
      <c r="L14" s="1535"/>
      <c r="M14" s="1535"/>
      <c r="N14" s="1536"/>
      <c r="O14" s="290"/>
      <c r="P14" s="1541" t="str">
        <f>+IF(+LEN(ZAKL_DATA!B28)+LEN(ZAKL_DATA!B27)=0," ",(+IF(+LEN(ZAKL_DATA!B28)=0,'DAP1'!H32,ZAKL_DATA!B28)))</f>
        <v xml:space="preserve"> </v>
      </c>
      <c r="Q14" s="1542"/>
      <c r="R14" s="1542"/>
      <c r="S14" s="1542"/>
      <c r="T14" s="1542"/>
      <c r="U14" s="1542"/>
      <c r="V14" s="1542"/>
      <c r="W14" s="1543"/>
      <c r="X14" s="485"/>
      <c r="Y14" s="1537" t="str">
        <f>++CONCATENATE(ZAKL_DATA!B25)</f>
        <v/>
      </c>
      <c r="Z14" s="1538"/>
      <c r="AA14" s="1538"/>
      <c r="AB14" s="1538"/>
      <c r="AC14" s="1538"/>
      <c r="AD14" s="1538"/>
      <c r="AE14" s="1538"/>
      <c r="AF14" s="1539"/>
    </row>
    <row r="15" spans="1:32" ht="5.0999999999999996" customHeight="1">
      <c r="A15" s="1618"/>
      <c r="B15" s="1619"/>
      <c r="C15" s="1619"/>
      <c r="D15" s="1619"/>
      <c r="E15" s="1619"/>
      <c r="F15" s="1619"/>
      <c r="G15" s="1619"/>
      <c r="H15" s="1619"/>
      <c r="I15" s="1619"/>
      <c r="J15" s="1619"/>
      <c r="K15" s="1619"/>
      <c r="L15" s="1619"/>
      <c r="M15" s="1619"/>
      <c r="N15" s="1619"/>
      <c r="O15" s="1619"/>
      <c r="P15" s="1619"/>
      <c r="Q15" s="1619"/>
      <c r="R15" s="1619"/>
      <c r="S15" s="1619"/>
      <c r="T15" s="1619"/>
      <c r="U15" s="1619"/>
      <c r="V15" s="1619"/>
      <c r="W15" s="1619"/>
      <c r="X15" s="1619"/>
      <c r="Y15" s="1619"/>
      <c r="Z15" s="1619"/>
      <c r="AA15" s="1619"/>
      <c r="AB15" s="1619"/>
      <c r="AC15" s="1619"/>
      <c r="AD15" s="1619"/>
      <c r="AE15" s="1619"/>
      <c r="AF15" s="1620"/>
    </row>
    <row r="16" spans="1:32" ht="15" customHeight="1">
      <c r="A16" s="1517" t="s">
        <v>3751</v>
      </c>
      <c r="B16" s="1606"/>
      <c r="C16" s="1606"/>
      <c r="D16" s="1606"/>
      <c r="E16" s="1606"/>
      <c r="F16" s="1606"/>
      <c r="G16" s="1606"/>
      <c r="H16" s="1606"/>
      <c r="I16" s="1606"/>
      <c r="J16" s="1606"/>
      <c r="K16" s="1606"/>
      <c r="L16" s="1606"/>
      <c r="M16" s="1606"/>
      <c r="N16" s="1606"/>
      <c r="O16" s="1606"/>
      <c r="P16" s="1606"/>
      <c r="Q16" s="1606"/>
      <c r="R16" s="1606"/>
      <c r="S16" s="1606"/>
      <c r="T16" s="1606"/>
      <c r="U16" s="1606"/>
      <c r="V16" s="1606"/>
      <c r="W16" s="1606"/>
      <c r="X16" s="1606"/>
      <c r="Y16" s="1606"/>
      <c r="Z16" s="1606"/>
      <c r="AA16" s="1606"/>
      <c r="AB16" s="1606"/>
      <c r="AC16" s="1606"/>
      <c r="AD16" s="1606"/>
      <c r="AE16" s="1606"/>
      <c r="AF16" s="1519"/>
    </row>
    <row r="17" spans="1:32" ht="4.5" customHeight="1">
      <c r="A17" s="1609"/>
      <c r="B17" s="1610"/>
      <c r="C17" s="1610"/>
      <c r="D17" s="1610"/>
      <c r="E17" s="1610"/>
      <c r="F17" s="1610"/>
      <c r="G17" s="1610"/>
      <c r="H17" s="1610"/>
      <c r="I17" s="1610"/>
      <c r="J17" s="1610"/>
      <c r="K17" s="1610"/>
      <c r="L17" s="1610"/>
      <c r="M17" s="1610"/>
      <c r="N17" s="1610"/>
      <c r="O17" s="1610"/>
      <c r="P17" s="1610"/>
      <c r="Q17" s="1610"/>
      <c r="R17" s="1610"/>
      <c r="S17" s="1610"/>
      <c r="T17" s="1610"/>
      <c r="U17" s="1610"/>
      <c r="V17" s="1610"/>
      <c r="W17" s="1610"/>
      <c r="X17" s="1610"/>
      <c r="Y17" s="1610"/>
      <c r="Z17" s="1610"/>
      <c r="AA17" s="1610"/>
      <c r="AB17" s="1610"/>
      <c r="AC17" s="1610"/>
      <c r="AD17" s="1610"/>
      <c r="AE17" s="1610"/>
      <c r="AF17" s="1611"/>
    </row>
    <row r="18" spans="1:32" ht="15" customHeight="1">
      <c r="A18" s="1504" t="s">
        <v>3978</v>
      </c>
      <c r="B18" s="1493"/>
      <c r="C18" s="1493"/>
      <c r="D18" s="1493"/>
      <c r="E18" s="1493"/>
      <c r="F18" s="1493"/>
      <c r="G18" s="1493"/>
      <c r="H18" s="1493"/>
      <c r="I18" s="1493"/>
      <c r="J18" s="1493"/>
      <c r="K18" s="1493"/>
      <c r="L18" s="1493"/>
      <c r="M18" s="1493"/>
      <c r="N18" s="1505"/>
      <c r="O18" s="418" t="s">
        <v>246</v>
      </c>
      <c r="P18" s="1492" t="s">
        <v>157</v>
      </c>
      <c r="Q18" s="1493"/>
      <c r="R18" s="1493"/>
      <c r="S18" s="1493"/>
      <c r="T18" s="1505"/>
      <c r="U18" s="418"/>
      <c r="V18" s="1492" t="s">
        <v>158</v>
      </c>
      <c r="W18" s="1493"/>
      <c r="X18" s="1493"/>
      <c r="Y18" s="1493"/>
      <c r="Z18" s="1494"/>
      <c r="AA18" s="418"/>
      <c r="AB18" s="1493" t="s">
        <v>159</v>
      </c>
      <c r="AC18" s="1493"/>
      <c r="AD18" s="1493"/>
      <c r="AE18" s="1493"/>
      <c r="AF18" s="1550"/>
    </row>
    <row r="19" spans="1:32" ht="4.5" customHeight="1">
      <c r="A19" s="1509"/>
      <c r="B19" s="1493"/>
      <c r="C19" s="1493"/>
      <c r="D19" s="1493"/>
      <c r="E19" s="1493"/>
      <c r="F19" s="1493"/>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1496"/>
      <c r="AE19" s="1497"/>
      <c r="AF19" s="1498"/>
    </row>
    <row r="20" spans="1:32" ht="15" customHeight="1">
      <c r="A20" s="1509" t="s">
        <v>116</v>
      </c>
      <c r="B20" s="1530"/>
      <c r="C20" s="1530"/>
      <c r="D20" s="1530"/>
      <c r="E20" s="1530"/>
      <c r="F20" s="490">
        <v>1</v>
      </c>
      <c r="G20" s="418"/>
      <c r="H20" s="491">
        <v>2</v>
      </c>
      <c r="I20" s="418"/>
      <c r="J20" s="491">
        <v>3</v>
      </c>
      <c r="K20" s="418"/>
      <c r="L20" s="491">
        <v>4</v>
      </c>
      <c r="M20" s="418"/>
      <c r="N20" s="491">
        <v>5</v>
      </c>
      <c r="O20" s="418"/>
      <c r="P20" s="491">
        <v>6</v>
      </c>
      <c r="Q20" s="418"/>
      <c r="R20" s="491">
        <v>7</v>
      </c>
      <c r="S20" s="418"/>
      <c r="T20" s="491">
        <v>8</v>
      </c>
      <c r="U20" s="418"/>
      <c r="V20" s="491">
        <v>9</v>
      </c>
      <c r="W20" s="418"/>
      <c r="X20" s="491">
        <v>10</v>
      </c>
      <c r="Y20" s="418"/>
      <c r="Z20" s="491">
        <v>11</v>
      </c>
      <c r="AA20" s="418"/>
      <c r="AB20" s="491">
        <v>12</v>
      </c>
      <c r="AC20" s="528"/>
      <c r="AD20" s="492" t="s">
        <v>227</v>
      </c>
      <c r="AE20" s="528" t="str">
        <f>+IF(EXACT(O18,"X"),"X","")</f>
        <v>X</v>
      </c>
      <c r="AF20" s="529"/>
    </row>
    <row r="21" spans="1:32" ht="4.5" customHeight="1">
      <c r="A21" s="1495"/>
      <c r="B21" s="1376"/>
      <c r="C21" s="1376"/>
      <c r="D21" s="1376"/>
      <c r="E21" s="1376"/>
      <c r="F21" s="1376"/>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1496"/>
      <c r="AE21" s="1497"/>
      <c r="AF21" s="1627"/>
    </row>
    <row r="22" spans="1:32" ht="15" customHeight="1">
      <c r="A22" s="1509" t="s">
        <v>117</v>
      </c>
      <c r="B22" s="1530"/>
      <c r="C22" s="1530"/>
      <c r="D22" s="1530"/>
      <c r="E22" s="1530"/>
      <c r="F22" s="490">
        <v>1</v>
      </c>
      <c r="G22" s="418"/>
      <c r="H22" s="491">
        <v>2</v>
      </c>
      <c r="I22" s="418"/>
      <c r="J22" s="491">
        <v>3</v>
      </c>
      <c r="K22" s="418"/>
      <c r="L22" s="491">
        <v>4</v>
      </c>
      <c r="M22" s="418"/>
      <c r="N22" s="491">
        <v>5</v>
      </c>
      <c r="O22" s="418"/>
      <c r="P22" s="491">
        <v>6</v>
      </c>
      <c r="Q22" s="418"/>
      <c r="R22" s="491">
        <v>7</v>
      </c>
      <c r="S22" s="418"/>
      <c r="T22" s="491">
        <v>8</v>
      </c>
      <c r="U22" s="418"/>
      <c r="V22" s="491">
        <v>9</v>
      </c>
      <c r="W22" s="418"/>
      <c r="X22" s="491">
        <v>10</v>
      </c>
      <c r="Y22" s="418"/>
      <c r="Z22" s="491">
        <v>11</v>
      </c>
      <c r="AA22" s="418"/>
      <c r="AB22" s="491">
        <v>12</v>
      </c>
      <c r="AC22" s="528"/>
      <c r="AD22" s="492" t="s">
        <v>227</v>
      </c>
      <c r="AE22" s="528" t="str">
        <f>+IF(EXACT(U18,"X"),"X","")</f>
        <v/>
      </c>
      <c r="AF22" s="529"/>
    </row>
    <row r="23" spans="1:32" ht="4.5" customHeight="1">
      <c r="A23" s="1495"/>
      <c r="B23" s="1376"/>
      <c r="C23" s="1376"/>
      <c r="D23" s="1376"/>
      <c r="E23" s="1376"/>
      <c r="F23" s="1376"/>
      <c r="G23" s="489"/>
      <c r="H23" s="489"/>
      <c r="I23" s="489"/>
      <c r="J23" s="489"/>
      <c r="K23" s="489"/>
      <c r="L23" s="489"/>
      <c r="M23" s="489"/>
      <c r="N23" s="489"/>
      <c r="O23" s="489"/>
      <c r="P23" s="489"/>
      <c r="Q23" s="489"/>
      <c r="R23" s="489"/>
      <c r="S23" s="489"/>
      <c r="T23" s="489"/>
      <c r="U23" s="489"/>
      <c r="V23" s="489"/>
      <c r="W23" s="489"/>
      <c r="X23" s="489"/>
      <c r="Y23" s="489"/>
      <c r="Z23" s="489"/>
      <c r="AA23" s="489"/>
      <c r="AB23" s="489"/>
      <c r="AC23" s="489"/>
      <c r="AD23" s="1496"/>
      <c r="AE23" s="1497"/>
      <c r="AF23" s="1498"/>
    </row>
    <row r="24" spans="1:32" ht="15" customHeight="1">
      <c r="A24" s="1499" t="s">
        <v>3752</v>
      </c>
      <c r="B24" s="1500"/>
      <c r="C24" s="1500"/>
      <c r="D24" s="1500"/>
      <c r="E24" s="1500"/>
      <c r="F24" s="490">
        <v>1</v>
      </c>
      <c r="G24" s="418"/>
      <c r="H24" s="491">
        <v>2</v>
      </c>
      <c r="I24" s="418"/>
      <c r="J24" s="491">
        <v>3</v>
      </c>
      <c r="K24" s="418"/>
      <c r="L24" s="491">
        <v>4</v>
      </c>
      <c r="M24" s="418"/>
      <c r="N24" s="491">
        <v>5</v>
      </c>
      <c r="O24" s="418"/>
      <c r="P24" s="491">
        <v>6</v>
      </c>
      <c r="Q24" s="418"/>
      <c r="R24" s="491">
        <v>7</v>
      </c>
      <c r="S24" s="418"/>
      <c r="T24" s="491">
        <v>8</v>
      </c>
      <c r="U24" s="418"/>
      <c r="V24" s="491">
        <v>9</v>
      </c>
      <c r="W24" s="418"/>
      <c r="X24" s="491">
        <v>10</v>
      </c>
      <c r="Y24" s="418"/>
      <c r="Z24" s="491">
        <v>11</v>
      </c>
      <c r="AA24" s="418"/>
      <c r="AB24" s="491">
        <v>12</v>
      </c>
      <c r="AC24" s="418"/>
      <c r="AD24" s="492" t="s">
        <v>227</v>
      </c>
      <c r="AE24" s="418"/>
      <c r="AF24" s="493"/>
    </row>
    <row r="25" spans="1:32" ht="21" customHeight="1">
      <c r="A25" s="1501"/>
      <c r="B25" s="1500"/>
      <c r="C25" s="1500"/>
      <c r="D25" s="1500"/>
      <c r="E25" s="1500"/>
      <c r="F25" s="290"/>
      <c r="G25" s="1502"/>
      <c r="H25" s="1052"/>
      <c r="I25" s="1052"/>
      <c r="J25" s="1052"/>
      <c r="K25" s="1052"/>
      <c r="L25" s="1052"/>
      <c r="M25" s="1052"/>
      <c r="N25" s="1052"/>
      <c r="O25" s="1052"/>
      <c r="P25" s="1052"/>
      <c r="Q25" s="1052"/>
      <c r="R25" s="1052"/>
      <c r="S25" s="1052"/>
      <c r="T25" s="1052"/>
      <c r="U25" s="1052"/>
      <c r="V25" s="1052"/>
      <c r="W25" s="1052"/>
      <c r="X25" s="1052"/>
      <c r="Y25" s="1052"/>
      <c r="Z25" s="1052"/>
      <c r="AA25" s="1052"/>
      <c r="AB25" s="1052"/>
      <c r="AC25" s="1052"/>
      <c r="AD25" s="1052"/>
      <c r="AE25" s="1503"/>
      <c r="AF25" s="1488"/>
    </row>
    <row r="26" spans="1:32" ht="15" customHeight="1">
      <c r="A26" s="1554" t="s">
        <v>3983</v>
      </c>
      <c r="B26" s="1555"/>
      <c r="C26" s="1555"/>
      <c r="D26" s="1555"/>
      <c r="E26" s="1555"/>
      <c r="F26" s="1555"/>
      <c r="G26" s="1555"/>
      <c r="H26" s="1555"/>
      <c r="I26" s="1555"/>
      <c r="J26" s="1555"/>
      <c r="K26" s="1555"/>
      <c r="L26" s="1555"/>
      <c r="M26" s="1555"/>
      <c r="N26" s="1555"/>
      <c r="O26" s="1555"/>
      <c r="P26" s="1555"/>
      <c r="Q26" s="1555"/>
      <c r="R26" s="1555"/>
      <c r="S26" s="1555"/>
      <c r="T26" s="1555"/>
      <c r="U26" s="1555"/>
      <c r="V26" s="1555"/>
      <c r="W26" s="1555"/>
      <c r="X26" s="1555"/>
      <c r="Y26" s="1555"/>
      <c r="Z26" s="1555"/>
      <c r="AA26" s="1555"/>
      <c r="AB26" s="1555"/>
      <c r="AC26" s="1555"/>
      <c r="AD26" s="1556"/>
      <c r="AE26" s="268"/>
      <c r="AF26" s="637"/>
    </row>
    <row r="27" spans="1:32" ht="4.5" customHeight="1">
      <c r="A27" s="1524"/>
      <c r="B27" s="1494"/>
      <c r="C27" s="1494"/>
      <c r="D27" s="1494"/>
      <c r="E27" s="1494"/>
      <c r="F27" s="1494"/>
      <c r="G27" s="1494"/>
      <c r="H27" s="1494"/>
      <c r="I27" s="1494"/>
      <c r="J27" s="1494"/>
      <c r="K27" s="1494"/>
      <c r="L27" s="1494"/>
      <c r="M27" s="1494"/>
      <c r="N27" s="1494"/>
      <c r="O27" s="1494"/>
      <c r="P27" s="1494"/>
      <c r="Q27" s="1494"/>
      <c r="R27" s="1494"/>
      <c r="S27" s="1494"/>
      <c r="T27" s="1494"/>
      <c r="U27" s="1494"/>
      <c r="V27" s="1494"/>
      <c r="W27" s="1494"/>
      <c r="X27" s="1494"/>
      <c r="Y27" s="1494"/>
      <c r="Z27" s="1494"/>
      <c r="AA27" s="1494"/>
      <c r="AB27" s="1494"/>
      <c r="AC27" s="1494"/>
      <c r="AD27" s="1494"/>
      <c r="AE27" s="1494"/>
      <c r="AF27" s="1557"/>
    </row>
    <row r="28" spans="1:32" ht="15" customHeight="1">
      <c r="A28" s="1551" t="s">
        <v>3985</v>
      </c>
      <c r="B28" s="1552"/>
      <c r="C28" s="1552"/>
      <c r="D28" s="1552"/>
      <c r="E28" s="1552"/>
      <c r="F28" s="1552"/>
      <c r="G28" s="1552"/>
      <c r="H28" s="1552"/>
      <c r="I28" s="1552"/>
      <c r="J28" s="1552"/>
      <c r="K28" s="1552"/>
      <c r="L28" s="1552"/>
      <c r="M28" s="1552"/>
      <c r="N28" s="1552"/>
      <c r="O28" s="1552"/>
      <c r="P28" s="1552"/>
      <c r="Q28" s="1552"/>
      <c r="R28" s="1552"/>
      <c r="S28" s="1552"/>
      <c r="T28" s="1552"/>
      <c r="U28" s="1552"/>
      <c r="V28" s="1552"/>
      <c r="W28" s="1552"/>
      <c r="X28" s="1552"/>
      <c r="Y28" s="1552"/>
      <c r="Z28" s="1552"/>
      <c r="AA28" s="1552"/>
      <c r="AB28" s="1552"/>
      <c r="AC28" s="1552"/>
      <c r="AD28" s="1552"/>
      <c r="AE28" s="1552"/>
      <c r="AF28" s="1553"/>
    </row>
    <row r="29" spans="1:32" ht="4.5" customHeight="1">
      <c r="A29" s="1580"/>
      <c r="B29" s="1581"/>
      <c r="C29" s="1581"/>
      <c r="D29" s="1581"/>
      <c r="E29" s="1581"/>
      <c r="F29" s="1582"/>
      <c r="G29" s="1582"/>
      <c r="H29" s="1582"/>
      <c r="I29" s="1582"/>
      <c r="J29" s="1582"/>
      <c r="K29" s="1582"/>
      <c r="L29" s="1582"/>
      <c r="M29" s="1582"/>
      <c r="N29" s="1582"/>
      <c r="O29" s="1582"/>
      <c r="P29" s="1582"/>
      <c r="Q29" s="1582"/>
      <c r="R29" s="1582"/>
      <c r="S29" s="1582"/>
      <c r="T29" s="1582"/>
      <c r="U29" s="1582"/>
      <c r="V29" s="1582"/>
      <c r="W29" s="1582"/>
      <c r="X29" s="1582"/>
      <c r="Y29" s="1582"/>
      <c r="Z29" s="1582"/>
      <c r="AA29" s="1582"/>
      <c r="AB29" s="1582"/>
      <c r="AC29" s="1582"/>
      <c r="AD29" s="1582"/>
      <c r="AE29" s="1582"/>
      <c r="AF29" s="1583"/>
    </row>
    <row r="30" spans="1:32" ht="18" customHeight="1">
      <c r="A30" s="1528" t="s">
        <v>3753</v>
      </c>
      <c r="B30" s="1529"/>
      <c r="C30" s="1529"/>
      <c r="D30" s="1529"/>
      <c r="E30" s="1529"/>
      <c r="F30" s="698"/>
      <c r="G30" s="418"/>
      <c r="H30" s="1526"/>
      <c r="I30" s="1527"/>
      <c r="J30" s="1527"/>
      <c r="K30" s="1527"/>
      <c r="L30" s="1493" t="s">
        <v>3845</v>
      </c>
      <c r="M30" s="1527"/>
      <c r="N30" s="1527"/>
      <c r="O30" s="1527"/>
      <c r="P30" s="1527"/>
      <c r="Q30" s="1527"/>
      <c r="R30" s="1527"/>
      <c r="S30" s="1527"/>
      <c r="T30" s="1527"/>
      <c r="U30" s="1527"/>
      <c r="V30" s="1527"/>
      <c r="W30" s="1527"/>
      <c r="X30" s="1527"/>
      <c r="Y30" s="1527"/>
      <c r="Z30" s="1527"/>
      <c r="AA30" s="1527"/>
      <c r="AB30" s="1527"/>
      <c r="AC30" s="1527"/>
      <c r="AD30" s="698"/>
      <c r="AE30" s="268"/>
      <c r="AF30" s="289"/>
    </row>
    <row r="31" spans="1:32" ht="3.95" customHeight="1">
      <c r="A31" s="1590"/>
      <c r="B31" s="1052"/>
      <c r="C31" s="1052"/>
      <c r="D31" s="1052"/>
      <c r="E31" s="1052"/>
      <c r="F31" s="1052"/>
      <c r="G31" s="1052"/>
      <c r="H31" s="1052"/>
      <c r="I31" s="1052"/>
      <c r="J31" s="1052"/>
      <c r="K31" s="1052"/>
      <c r="L31" s="1052"/>
      <c r="M31" s="1052"/>
      <c r="N31" s="1052"/>
      <c r="O31" s="1052"/>
      <c r="P31" s="1052"/>
      <c r="Q31" s="1052"/>
      <c r="R31" s="1052"/>
      <c r="S31" s="1052"/>
      <c r="T31" s="1052"/>
      <c r="U31" s="1052"/>
      <c r="V31" s="1052"/>
      <c r="W31" s="1052"/>
      <c r="X31" s="1052"/>
      <c r="Y31" s="1052"/>
      <c r="Z31" s="1052"/>
      <c r="AA31" s="1052"/>
      <c r="AB31" s="1052"/>
      <c r="AC31" s="1052"/>
      <c r="AD31" s="1052"/>
      <c r="AE31" s="1052"/>
      <c r="AF31" s="698"/>
    </row>
    <row r="32" spans="1:32" ht="20.100000000000001" customHeight="1">
      <c r="A32" s="1594" t="s">
        <v>3984</v>
      </c>
      <c r="B32" s="1595"/>
      <c r="C32" s="1595"/>
      <c r="D32" s="1595"/>
      <c r="E32" s="1595"/>
      <c r="F32" s="1488"/>
      <c r="G32" s="268"/>
      <c r="H32" s="1526"/>
      <c r="I32" s="1527"/>
      <c r="J32" s="1527"/>
      <c r="K32" s="1527"/>
      <c r="L32" s="1595" t="s">
        <v>3755</v>
      </c>
      <c r="M32" s="1596"/>
      <c r="N32" s="1596"/>
      <c r="O32" s="1596"/>
      <c r="P32" s="1596"/>
      <c r="Q32" s="1596"/>
      <c r="R32" s="1596"/>
      <c r="S32" s="1596"/>
      <c r="T32" s="1596"/>
      <c r="U32" s="1596"/>
      <c r="V32" s="1596"/>
      <c r="W32" s="1596"/>
      <c r="X32" s="1596"/>
      <c r="Y32" s="1596"/>
      <c r="Z32" s="1596"/>
      <c r="AA32" s="1596"/>
      <c r="AB32" s="1596"/>
      <c r="AC32" s="1596"/>
      <c r="AD32" s="698"/>
      <c r="AE32" s="268"/>
      <c r="AF32" s="289"/>
    </row>
    <row r="33" spans="1:65" ht="3.95" customHeight="1">
      <c r="A33" s="1590"/>
      <c r="B33" s="1052"/>
      <c r="C33" s="1052"/>
      <c r="D33" s="1052"/>
      <c r="E33" s="1052"/>
      <c r="F33" s="1052"/>
      <c r="G33" s="1052"/>
      <c r="H33" s="1052"/>
      <c r="I33" s="1052"/>
      <c r="J33" s="1052"/>
      <c r="K33" s="1052"/>
      <c r="L33" s="1052"/>
      <c r="M33" s="1052"/>
      <c r="N33" s="1052"/>
      <c r="O33" s="1052"/>
      <c r="P33" s="1052"/>
      <c r="Q33" s="1052"/>
      <c r="R33" s="1052"/>
      <c r="S33" s="1052"/>
      <c r="T33" s="1052"/>
      <c r="U33" s="1052"/>
      <c r="V33" s="1052"/>
      <c r="W33" s="1052"/>
      <c r="X33" s="1052"/>
      <c r="Y33" s="1052"/>
      <c r="Z33" s="1052"/>
      <c r="AA33" s="1052"/>
      <c r="AB33" s="1052"/>
      <c r="AC33" s="1052"/>
      <c r="AD33" s="1052"/>
      <c r="AE33" s="1052"/>
      <c r="AF33" s="698"/>
    </row>
    <row r="34" spans="1:65" ht="20.100000000000001" customHeight="1">
      <c r="A34" s="1528" t="s">
        <v>3754</v>
      </c>
      <c r="B34" s="1529"/>
      <c r="C34" s="1529"/>
      <c r="D34" s="1529"/>
      <c r="E34" s="1529"/>
      <c r="F34" s="698"/>
      <c r="G34" s="268"/>
      <c r="H34" s="1526"/>
      <c r="I34" s="1527"/>
      <c r="J34" s="1527"/>
      <c r="K34" s="1527"/>
      <c r="L34" s="1595" t="s">
        <v>3887</v>
      </c>
      <c r="M34" s="1597"/>
      <c r="N34" s="1597"/>
      <c r="O34" s="1597"/>
      <c r="P34" s="1597"/>
      <c r="Q34" s="1597"/>
      <c r="R34" s="1597"/>
      <c r="S34" s="1597"/>
      <c r="T34" s="1597"/>
      <c r="U34" s="1597"/>
      <c r="V34" s="1597"/>
      <c r="W34" s="1597"/>
      <c r="X34" s="1597"/>
      <c r="Y34" s="1597"/>
      <c r="Z34" s="1597"/>
      <c r="AA34" s="1597"/>
      <c r="AB34" s="1597"/>
      <c r="AC34" s="1597"/>
      <c r="AD34" s="1488"/>
      <c r="AE34" s="268"/>
      <c r="AF34" s="289"/>
    </row>
    <row r="35" spans="1:65" ht="3.95" customHeight="1">
      <c r="A35" s="1591"/>
      <c r="B35" s="1592"/>
      <c r="C35" s="1592"/>
      <c r="D35" s="1592"/>
      <c r="E35" s="1592"/>
      <c r="F35" s="1592"/>
      <c r="G35" s="1592"/>
      <c r="H35" s="1592"/>
      <c r="I35" s="1592"/>
      <c r="J35" s="1592"/>
      <c r="K35" s="1592"/>
      <c r="L35" s="1592"/>
      <c r="M35" s="1592"/>
      <c r="N35" s="1592"/>
      <c r="O35" s="1592"/>
      <c r="P35" s="1592"/>
      <c r="Q35" s="1592"/>
      <c r="R35" s="1592"/>
      <c r="S35" s="1592"/>
      <c r="T35" s="1592"/>
      <c r="U35" s="1592"/>
      <c r="V35" s="1592"/>
      <c r="W35" s="1592"/>
      <c r="X35" s="1592"/>
      <c r="Y35" s="1592"/>
      <c r="Z35" s="1592"/>
      <c r="AA35" s="1592"/>
      <c r="AB35" s="1592"/>
      <c r="AC35" s="1592"/>
      <c r="AD35" s="1592"/>
      <c r="AE35" s="1592"/>
      <c r="AF35" s="1593"/>
    </row>
    <row r="36" spans="1:65">
      <c r="A36" s="1517" t="s">
        <v>3979</v>
      </c>
      <c r="B36" s="1518"/>
      <c r="C36" s="1518"/>
      <c r="D36" s="1518"/>
      <c r="E36" s="1518"/>
      <c r="F36" s="1518"/>
      <c r="G36" s="1518"/>
      <c r="H36" s="1518"/>
      <c r="I36" s="1518"/>
      <c r="J36" s="1518"/>
      <c r="K36" s="1518"/>
      <c r="L36" s="1518"/>
      <c r="M36" s="1518"/>
      <c r="N36" s="1518"/>
      <c r="O36" s="1518"/>
      <c r="P36" s="1518"/>
      <c r="Q36" s="1518"/>
      <c r="R36" s="1518"/>
      <c r="S36" s="1518"/>
      <c r="T36" s="1518"/>
      <c r="U36" s="1518"/>
      <c r="V36" s="1518"/>
      <c r="W36" s="1518"/>
      <c r="X36" s="1518"/>
      <c r="Y36" s="1518"/>
      <c r="Z36" s="1518"/>
      <c r="AA36" s="1518"/>
      <c r="AB36" s="1518"/>
      <c r="AC36" s="1518"/>
      <c r="AD36" s="1518"/>
      <c r="AE36" s="1518"/>
      <c r="AF36" s="1519"/>
    </row>
    <row r="37" spans="1:65" ht="5.0999999999999996" customHeight="1">
      <c r="A37" s="1585"/>
      <c r="B37" s="1449"/>
      <c r="C37" s="1449"/>
      <c r="D37" s="1449"/>
      <c r="E37" s="1449"/>
      <c r="F37" s="1449"/>
      <c r="G37" s="1449"/>
      <c r="H37" s="1449"/>
      <c r="I37" s="1449"/>
      <c r="J37" s="1449"/>
      <c r="K37" s="1449"/>
      <c r="L37" s="1449"/>
      <c r="M37" s="1449"/>
      <c r="N37" s="1449"/>
      <c r="O37" s="1449"/>
      <c r="P37" s="1449"/>
      <c r="Q37" s="1449"/>
      <c r="R37" s="1449"/>
      <c r="S37" s="1449"/>
      <c r="T37" s="1449"/>
      <c r="U37" s="1449"/>
      <c r="V37" s="1449"/>
      <c r="W37" s="1449"/>
      <c r="X37" s="1449"/>
      <c r="Y37" s="1585"/>
      <c r="Z37" s="1449"/>
      <c r="AA37" s="1449"/>
      <c r="AB37" s="1449"/>
      <c r="AC37" s="1449"/>
      <c r="AD37" s="1449"/>
      <c r="AE37" s="1449"/>
      <c r="AF37" s="1586"/>
    </row>
    <row r="38" spans="1:65" ht="18" customHeight="1">
      <c r="A38" s="1509" t="s">
        <v>3756</v>
      </c>
      <c r="B38" s="1052"/>
      <c r="C38" s="1052"/>
      <c r="D38" s="1052"/>
      <c r="E38" s="1052"/>
      <c r="F38" s="1052"/>
      <c r="G38" s="698"/>
      <c r="H38" s="1510">
        <f>+'1Př1'!F23</f>
        <v>0</v>
      </c>
      <c r="I38" s="1511"/>
      <c r="J38" s="1511"/>
      <c r="K38" s="1511"/>
      <c r="L38" s="1511"/>
      <c r="M38" s="1512"/>
      <c r="N38" s="1525" t="s">
        <v>193</v>
      </c>
      <c r="O38" s="1052"/>
      <c r="P38" s="1052"/>
      <c r="Q38" s="1052"/>
      <c r="R38" s="1052"/>
      <c r="S38" s="1052"/>
      <c r="T38" s="1052"/>
      <c r="U38" s="1052"/>
      <c r="V38" s="1052"/>
      <c r="W38" s="1052"/>
      <c r="X38" s="698"/>
      <c r="Y38" s="1624" t="s">
        <v>3762</v>
      </c>
      <c r="Z38" s="1625"/>
      <c r="AA38" s="1625"/>
      <c r="AB38" s="1625"/>
      <c r="AC38" s="1625"/>
      <c r="AD38" s="1625"/>
      <c r="AE38" s="1625"/>
      <c r="AF38" s="1626"/>
    </row>
    <row r="39" spans="1:65" ht="4.5" customHeight="1">
      <c r="A39" s="1508"/>
      <c r="B39" s="1052"/>
      <c r="C39" s="1052"/>
      <c r="D39" s="1052"/>
      <c r="E39" s="1052"/>
      <c r="F39" s="1052"/>
      <c r="G39" s="1052"/>
      <c r="H39" s="1052"/>
      <c r="I39" s="1052"/>
      <c r="J39" s="1052"/>
      <c r="K39" s="1052"/>
      <c r="L39" s="1052"/>
      <c r="M39" s="1052"/>
      <c r="N39" s="1052"/>
      <c r="O39" s="1578"/>
      <c r="P39" s="1052"/>
      <c r="Q39" s="1052"/>
      <c r="R39" s="1052"/>
      <c r="S39" s="1052"/>
      <c r="T39" s="1578"/>
      <c r="U39" s="1052"/>
      <c r="V39" s="1052"/>
      <c r="W39" s="1584"/>
      <c r="X39" s="698"/>
      <c r="Y39" s="1579"/>
      <c r="Z39" s="1052"/>
      <c r="AA39" s="1052"/>
      <c r="AB39" s="1494"/>
      <c r="AC39" s="1052"/>
      <c r="AD39" s="1578"/>
      <c r="AE39" s="1052"/>
      <c r="AF39" s="1488"/>
    </row>
    <row r="40" spans="1:65" ht="18" customHeight="1">
      <c r="A40" s="1487" t="s">
        <v>3757</v>
      </c>
      <c r="B40" s="1052"/>
      <c r="C40" s="1052"/>
      <c r="D40" s="1052"/>
      <c r="E40" s="1052"/>
      <c r="F40" s="1052"/>
      <c r="G40" s="1052"/>
      <c r="H40" s="1052"/>
      <c r="I40" s="1052"/>
      <c r="J40" s="1052"/>
      <c r="K40" s="1052"/>
      <c r="L40" s="1052"/>
      <c r="M40" s="1052"/>
      <c r="N40" s="1052"/>
      <c r="O40" s="1488"/>
      <c r="P40" s="268">
        <f>+AU40</f>
        <v>12</v>
      </c>
      <c r="Q40" s="1487" t="s">
        <v>3888</v>
      </c>
      <c r="R40" s="1052"/>
      <c r="S40" s="1052"/>
      <c r="T40" s="1488"/>
      <c r="U40" s="268">
        <f>+AU42</f>
        <v>0</v>
      </c>
      <c r="V40" s="1587" t="s">
        <v>3889</v>
      </c>
      <c r="W40" s="1588"/>
      <c r="X40" s="1589"/>
      <c r="Y40" s="638"/>
      <c r="Z40" s="639"/>
      <c r="AA40" s="1487" t="s">
        <v>3888</v>
      </c>
      <c r="AB40" s="1488"/>
      <c r="AC40" s="639"/>
      <c r="AD40" s="1489" t="s">
        <v>3889</v>
      </c>
      <c r="AE40" s="1052"/>
      <c r="AF40" s="1488"/>
      <c r="AH40" s="21">
        <f>+IF(EXACT(AE20,"X"),12,0)</f>
        <v>12</v>
      </c>
      <c r="AI40" s="21">
        <f>+IF(EXACT(G20,"X"),1,0)</f>
        <v>0</v>
      </c>
      <c r="AJ40" s="21">
        <f>+IF(EXACT(I20,"X"),1,0)</f>
        <v>0</v>
      </c>
      <c r="AK40" s="21">
        <f>+IF(EXACT(K20,"X"),1,0)</f>
        <v>0</v>
      </c>
      <c r="AL40" s="21">
        <f>+IF(EXACT(M20,"X"),1,0)</f>
        <v>0</v>
      </c>
      <c r="AM40" s="21">
        <f>+IF(EXACT(O20,"X"),1,0)</f>
        <v>0</v>
      </c>
      <c r="AN40" s="21">
        <f>+IF(EXACT(Q20,"X"),1,0)</f>
        <v>0</v>
      </c>
      <c r="AO40" s="21">
        <f>+IF(EXACT(S20,"X"),1,0)</f>
        <v>0</v>
      </c>
      <c r="AP40" s="21">
        <f>+IF(EXACT(U20,"X"),1,0)</f>
        <v>0</v>
      </c>
      <c r="AQ40" s="21">
        <f>+IF(EXACT(W20,"X"),1,0)</f>
        <v>0</v>
      </c>
      <c r="AR40" s="21">
        <f>+IF(EXACT(Y20,"X"),1,0)</f>
        <v>0</v>
      </c>
      <c r="AS40" s="21">
        <f>+IF(EXACT(AA20,"X"),1,0)</f>
        <v>0</v>
      </c>
      <c r="AT40" s="21">
        <f>+IF(EXACT(AC20,"X"),1,0)</f>
        <v>0</v>
      </c>
      <c r="AU40" s="21">
        <f>+IF(AH40=12,12,+SUM(AI40:AT40))</f>
        <v>12</v>
      </c>
    </row>
    <row r="41" spans="1:65" ht="4.5" customHeight="1">
      <c r="A41" s="1524"/>
      <c r="B41" s="1052"/>
      <c r="C41" s="1052"/>
      <c r="D41" s="1052"/>
      <c r="E41" s="1052"/>
      <c r="F41" s="1052"/>
      <c r="G41" s="1052"/>
      <c r="H41" s="1052"/>
      <c r="I41" s="1052"/>
      <c r="J41" s="1052"/>
      <c r="K41" s="1052"/>
      <c r="L41" s="1052"/>
      <c r="M41" s="1052"/>
      <c r="N41" s="1052"/>
      <c r="O41" s="1578"/>
      <c r="P41" s="1052"/>
      <c r="Q41" s="1052"/>
      <c r="R41" s="1052"/>
      <c r="S41" s="1052"/>
      <c r="T41" s="1578"/>
      <c r="U41" s="1052"/>
      <c r="V41" s="1052"/>
      <c r="W41" s="1584"/>
      <c r="X41" s="1488"/>
      <c r="Y41" s="1579"/>
      <c r="Z41" s="1052"/>
      <c r="AA41" s="1052"/>
      <c r="AB41" s="1494"/>
      <c r="AC41" s="1052"/>
      <c r="AD41" s="1578"/>
      <c r="AE41" s="1052"/>
      <c r="AF41" s="1488"/>
    </row>
    <row r="42" spans="1:65" s="121" customFormat="1" ht="18" customHeight="1">
      <c r="A42" s="1487" t="s">
        <v>3758</v>
      </c>
      <c r="B42" s="1052"/>
      <c r="C42" s="1052"/>
      <c r="D42" s="1052"/>
      <c r="E42" s="1052"/>
      <c r="F42" s="1052"/>
      <c r="G42" s="1052"/>
      <c r="H42" s="1052"/>
      <c r="I42" s="1052"/>
      <c r="J42" s="1052"/>
      <c r="K42" s="1052"/>
      <c r="L42" s="1052"/>
      <c r="M42" s="1052"/>
      <c r="N42" s="1052"/>
      <c r="O42" s="1488"/>
      <c r="P42" s="268">
        <f>+P40</f>
        <v>12</v>
      </c>
      <c r="Q42" s="1487" t="s">
        <v>3888</v>
      </c>
      <c r="R42" s="1052"/>
      <c r="S42" s="1052"/>
      <c r="T42" s="1488"/>
      <c r="U42" s="268">
        <f>+U40</f>
        <v>0</v>
      </c>
      <c r="V42" s="1587" t="s">
        <v>3889</v>
      </c>
      <c r="W42" s="1588"/>
      <c r="X42" s="1589"/>
      <c r="Y42" s="638"/>
      <c r="Z42" s="639"/>
      <c r="AA42" s="1487" t="s">
        <v>3888</v>
      </c>
      <c r="AB42" s="1488"/>
      <c r="AC42" s="639"/>
      <c r="AD42" s="1489" t="s">
        <v>3889</v>
      </c>
      <c r="AE42" s="1052"/>
      <c r="AF42" s="1488"/>
      <c r="AG42" s="102"/>
      <c r="AH42" s="21">
        <f>+IF(EXACT(AE22,"X"),12,0)</f>
        <v>0</v>
      </c>
      <c r="AI42" s="21">
        <f>+IF(EXACT(G22,"X"),1,0)</f>
        <v>0</v>
      </c>
      <c r="AJ42" s="21">
        <f>+IF(EXACT(I22,"X"),1,0)</f>
        <v>0</v>
      </c>
      <c r="AK42" s="21">
        <f>+IF(EXACT(K22,"X"),1,0)</f>
        <v>0</v>
      </c>
      <c r="AL42" s="21">
        <f>+IF(EXACT(M22,"X"),1,0)</f>
        <v>0</v>
      </c>
      <c r="AM42" s="21">
        <f>+IF(EXACT(O22,"X"),1,0)</f>
        <v>0</v>
      </c>
      <c r="AN42" s="21">
        <f>+IF(EXACT(Q22,"X"),1,0)</f>
        <v>0</v>
      </c>
      <c r="AO42" s="21">
        <f>+IF(EXACT(S22,"X"),1,0)</f>
        <v>0</v>
      </c>
      <c r="AP42" s="21">
        <f>+IF(EXACT(U22,"X"),1,0)</f>
        <v>0</v>
      </c>
      <c r="AQ42" s="21">
        <f>+IF(EXACT(W22,"X"),1,0)</f>
        <v>0</v>
      </c>
      <c r="AR42" s="21">
        <f>+IF(EXACT(Y22,"X"),1,0)</f>
        <v>0</v>
      </c>
      <c r="AS42" s="21">
        <f>+IF(EXACT(AA22,"X"),1,0)</f>
        <v>0</v>
      </c>
      <c r="AT42" s="21">
        <f>+IF(EXACT(AC22,"X"),1,0)</f>
        <v>0</v>
      </c>
      <c r="AU42" s="21">
        <f>+IF(AH42=12,12,+SUM(AI42:AT42))</f>
        <v>0</v>
      </c>
      <c r="AV42" s="102"/>
      <c r="AW42" s="102"/>
      <c r="AX42" s="102"/>
      <c r="AY42" s="102"/>
      <c r="AZ42" s="102"/>
      <c r="BA42" s="102"/>
      <c r="BB42" s="102"/>
      <c r="BC42" s="102"/>
      <c r="BD42" s="102"/>
      <c r="BE42" s="102"/>
      <c r="BF42" s="102"/>
      <c r="BG42" s="102"/>
      <c r="BH42" s="102"/>
      <c r="BI42" s="102"/>
      <c r="BJ42" s="102"/>
      <c r="BK42" s="102"/>
      <c r="BL42" s="102"/>
      <c r="BM42" s="102"/>
    </row>
    <row r="43" spans="1:65" ht="4.5" customHeight="1">
      <c r="A43" s="1526"/>
      <c r="B43" s="1052"/>
      <c r="C43" s="1052"/>
      <c r="D43" s="1052"/>
      <c r="E43" s="1052"/>
      <c r="F43" s="1052"/>
      <c r="G43" s="1052"/>
      <c r="H43" s="1052"/>
      <c r="I43" s="1052"/>
      <c r="J43" s="1052"/>
      <c r="K43" s="1052"/>
      <c r="L43" s="1052"/>
      <c r="M43" s="1052"/>
      <c r="N43" s="1052"/>
      <c r="O43" s="1578"/>
      <c r="P43" s="1052"/>
      <c r="Q43" s="1052"/>
      <c r="R43" s="1052"/>
      <c r="S43" s="1052"/>
      <c r="T43" s="1578"/>
      <c r="U43" s="1052"/>
      <c r="V43" s="1052"/>
      <c r="W43" s="1584"/>
      <c r="X43" s="698"/>
      <c r="Y43" s="1508"/>
      <c r="Z43" s="1052"/>
      <c r="AA43" s="1052"/>
      <c r="AB43" s="1494"/>
      <c r="AC43" s="1052"/>
      <c r="AD43" s="1578"/>
      <c r="AE43" s="1052"/>
      <c r="AF43" s="698"/>
    </row>
    <row r="44" spans="1:65" ht="18" customHeight="1">
      <c r="A44" s="1504" t="s">
        <v>3831</v>
      </c>
      <c r="B44" s="1052"/>
      <c r="C44" s="1052"/>
      <c r="D44" s="1052"/>
      <c r="E44" s="1052"/>
      <c r="F44" s="1052"/>
      <c r="G44" s="1052"/>
      <c r="H44" s="1520">
        <f>+ROUND(IF(P42+U42=0,0,H38/(P42+U42)),2)</f>
        <v>0</v>
      </c>
      <c r="I44" s="1521"/>
      <c r="J44" s="1521"/>
      <c r="K44" s="1521"/>
      <c r="L44" s="1521"/>
      <c r="M44" s="1522"/>
      <c r="N44" s="1525" t="s">
        <v>193</v>
      </c>
      <c r="O44" s="1052"/>
      <c r="P44" s="1052"/>
      <c r="Q44" s="1052"/>
      <c r="R44" s="1052"/>
      <c r="S44" s="1052"/>
      <c r="T44" s="1052"/>
      <c r="U44" s="1052"/>
      <c r="V44" s="1052"/>
      <c r="W44" s="1052"/>
      <c r="X44" s="698"/>
      <c r="Y44" s="1490"/>
      <c r="Z44" s="1052"/>
      <c r="AA44" s="1052"/>
      <c r="AB44" s="1052"/>
      <c r="AC44" s="1052"/>
      <c r="AD44" s="1052"/>
      <c r="AE44" s="1052"/>
      <c r="AF44" s="1488"/>
    </row>
    <row r="45" spans="1:65" ht="8.1" customHeight="1">
      <c r="A45" s="1490"/>
      <c r="B45" s="1052"/>
      <c r="C45" s="1052"/>
      <c r="D45" s="1052"/>
      <c r="E45" s="1052"/>
      <c r="F45" s="1052"/>
      <c r="G45" s="1052"/>
      <c r="H45" s="1515" t="s">
        <v>3592</v>
      </c>
      <c r="I45" s="1516"/>
      <c r="J45" s="1516"/>
      <c r="K45" s="1516"/>
      <c r="L45" s="1516"/>
      <c r="M45" s="1516"/>
      <c r="N45" s="413"/>
      <c r="O45" s="413"/>
      <c r="P45" s="1513" t="s">
        <v>3593</v>
      </c>
      <c r="Q45" s="1514"/>
      <c r="R45" s="1514"/>
      <c r="S45" s="1514"/>
      <c r="T45" s="1514"/>
      <c r="U45" s="1514"/>
      <c r="V45" s="1502"/>
      <c r="W45" s="1052"/>
      <c r="X45" s="1052"/>
      <c r="Y45" s="1491"/>
      <c r="Z45" s="1052"/>
      <c r="AA45" s="1052"/>
      <c r="AB45" s="1052"/>
      <c r="AC45" s="1052"/>
      <c r="AD45" s="1052"/>
      <c r="AE45" s="1052"/>
      <c r="AF45" s="1488"/>
    </row>
    <row r="46" spans="1:65" ht="18" customHeight="1">
      <c r="A46" s="1504" t="s">
        <v>3832</v>
      </c>
      <c r="B46" s="1052"/>
      <c r="C46" s="1052"/>
      <c r="D46" s="1052"/>
      <c r="E46" s="1052"/>
      <c r="F46" s="1052"/>
      <c r="G46" s="1488"/>
      <c r="H46" s="1510">
        <f>IF(OR(EXACT("X",AA18),EXACT("x",AA18)),+H44*P42,0)</f>
        <v>0</v>
      </c>
      <c r="I46" s="1511"/>
      <c r="J46" s="1511"/>
      <c r="K46" s="1511"/>
      <c r="L46" s="1511"/>
      <c r="M46" s="1512"/>
      <c r="N46" s="1525" t="s">
        <v>193</v>
      </c>
      <c r="O46" s="698"/>
      <c r="P46" s="1523">
        <f>IF(OR(EXACT("X",AA18),EXACT("x",AA18)),+H44*U42,0)</f>
        <v>0</v>
      </c>
      <c r="Q46" s="1511"/>
      <c r="R46" s="1511"/>
      <c r="S46" s="1511"/>
      <c r="T46" s="1511"/>
      <c r="U46" s="1512"/>
      <c r="V46" s="1598" t="s">
        <v>193</v>
      </c>
      <c r="W46" s="1052"/>
      <c r="X46" s="1052"/>
      <c r="Y46" s="419"/>
      <c r="Z46" s="1623"/>
      <c r="AA46" s="1511"/>
      <c r="AB46" s="1511"/>
      <c r="AC46" s="1511"/>
      <c r="AD46" s="1511"/>
      <c r="AE46" s="1512"/>
      <c r="AF46" s="420" t="s">
        <v>193</v>
      </c>
    </row>
    <row r="47" spans="1:65" ht="8.1" customHeight="1">
      <c r="A47" s="1490"/>
      <c r="B47" s="1052"/>
      <c r="C47" s="1052"/>
      <c r="D47" s="1052"/>
      <c r="E47" s="1052"/>
      <c r="F47" s="1052"/>
      <c r="G47" s="1052"/>
      <c r="H47" s="1515" t="s">
        <v>3592</v>
      </c>
      <c r="I47" s="1516"/>
      <c r="J47" s="1516"/>
      <c r="K47" s="1516"/>
      <c r="L47" s="1516"/>
      <c r="M47" s="1516"/>
      <c r="N47" s="413"/>
      <c r="O47" s="413"/>
      <c r="P47" s="1513" t="s">
        <v>3593</v>
      </c>
      <c r="Q47" s="1514"/>
      <c r="R47" s="1514"/>
      <c r="S47" s="1514"/>
      <c r="T47" s="1514"/>
      <c r="U47" s="1514"/>
      <c r="V47" s="1502"/>
      <c r="W47" s="1052"/>
      <c r="X47" s="1052"/>
      <c r="Y47" s="1628"/>
      <c r="Z47" s="1584"/>
      <c r="AA47" s="1584"/>
      <c r="AB47" s="1584"/>
      <c r="AC47" s="1584"/>
      <c r="AD47" s="1584"/>
      <c r="AE47" s="1584"/>
      <c r="AF47" s="1629"/>
    </row>
    <row r="48" spans="1:65" ht="18" customHeight="1">
      <c r="A48" s="1504" t="s">
        <v>3833</v>
      </c>
      <c r="B48" s="1052"/>
      <c r="C48" s="1052"/>
      <c r="D48" s="1052"/>
      <c r="E48" s="1052"/>
      <c r="F48" s="1052"/>
      <c r="G48" s="1488"/>
      <c r="H48" s="1523">
        <f>+IF(OR(EXACT(O18,"X"),EXACT(O18,"x")),CEILING(H38*0.55,1),CEILING(+H46*0.55,1))</f>
        <v>0</v>
      </c>
      <c r="I48" s="1511"/>
      <c r="J48" s="1511"/>
      <c r="K48" s="1511"/>
      <c r="L48" s="1511"/>
      <c r="M48" s="1512"/>
      <c r="N48" s="1525" t="s">
        <v>193</v>
      </c>
      <c r="O48" s="698"/>
      <c r="P48" s="1506">
        <f>+IF(OR(EXACT(U18,"X"),EXACT(U18,"x")),ROUND(H38*0.55,0),ROUND(+P46*0.55,0))</f>
        <v>0</v>
      </c>
      <c r="Q48" s="1507"/>
      <c r="R48" s="1507"/>
      <c r="S48" s="1507"/>
      <c r="T48" s="1507"/>
      <c r="U48" s="877"/>
      <c r="V48" s="1598" t="s">
        <v>193</v>
      </c>
      <c r="W48" s="1052"/>
      <c r="X48" s="1052"/>
      <c r="Y48" s="419"/>
      <c r="Z48" s="1623"/>
      <c r="AA48" s="1511"/>
      <c r="AB48" s="1511"/>
      <c r="AC48" s="1511"/>
      <c r="AD48" s="1511"/>
      <c r="AE48" s="1512"/>
      <c r="AF48" s="420" t="s">
        <v>193</v>
      </c>
    </row>
    <row r="49" spans="1:32" ht="8.1" customHeight="1">
      <c r="A49" s="1490"/>
      <c r="B49" s="1052"/>
      <c r="C49" s="1052"/>
      <c r="D49" s="1052"/>
      <c r="E49" s="1052"/>
      <c r="F49" s="1052"/>
      <c r="G49" s="1052"/>
      <c r="H49" s="1515" t="s">
        <v>3592</v>
      </c>
      <c r="I49" s="1516"/>
      <c r="J49" s="1516"/>
      <c r="K49" s="1516"/>
      <c r="L49" s="1516"/>
      <c r="M49" s="1516"/>
      <c r="N49" s="413"/>
      <c r="O49" s="413"/>
      <c r="P49" s="1513" t="s">
        <v>3593</v>
      </c>
      <c r="Q49" s="1514"/>
      <c r="R49" s="1514"/>
      <c r="S49" s="1514"/>
      <c r="T49" s="1514"/>
      <c r="U49" s="1514"/>
      <c r="V49" s="1502"/>
      <c r="W49" s="1052"/>
      <c r="X49" s="1052"/>
      <c r="Y49" s="1628"/>
      <c r="Z49" s="1584"/>
      <c r="AA49" s="1584"/>
      <c r="AB49" s="1584"/>
      <c r="AC49" s="1584"/>
      <c r="AD49" s="1584"/>
      <c r="AE49" s="1584"/>
      <c r="AF49" s="1629"/>
    </row>
    <row r="50" spans="1:32" ht="18" customHeight="1">
      <c r="A50" s="1504" t="s">
        <v>3834</v>
      </c>
      <c r="B50" s="1052"/>
      <c r="C50" s="1052"/>
      <c r="D50" s="1052"/>
      <c r="E50" s="1052"/>
      <c r="F50" s="1052"/>
      <c r="G50" s="1488"/>
      <c r="H50" s="1506">
        <f>(IF(OR(EXACT(AA18,"X"),EXACT(AA18,"x")),+IF(P40&gt;0,IF(OR(EXACT(AE26,"X"),EXACT(AE26,"x")),10992*P42,13191*P42),0),0))</f>
        <v>0</v>
      </c>
      <c r="I50" s="1507"/>
      <c r="J50" s="1507"/>
      <c r="K50" s="1507"/>
      <c r="L50" s="1507"/>
      <c r="M50" s="877"/>
      <c r="N50" s="1630" t="s">
        <v>193</v>
      </c>
      <c r="O50" s="698"/>
      <c r="P50" s="1506">
        <f>(IF(OR(EXACT(AA18,"X"),EXACT(AA18,"x")),+IF(U40&gt;0,4837*U42,0),0))</f>
        <v>0</v>
      </c>
      <c r="Q50" s="1507"/>
      <c r="R50" s="1507"/>
      <c r="S50" s="1507"/>
      <c r="T50" s="1507"/>
      <c r="U50" s="877"/>
      <c r="V50" s="1598" t="s">
        <v>193</v>
      </c>
      <c r="W50" s="1052"/>
      <c r="X50" s="1052"/>
      <c r="Y50" s="419"/>
      <c r="Z50" s="1623"/>
      <c r="AA50" s="1511"/>
      <c r="AB50" s="1511"/>
      <c r="AC50" s="1511"/>
      <c r="AD50" s="1511"/>
      <c r="AE50" s="1512"/>
      <c r="AF50" s="420" t="s">
        <v>193</v>
      </c>
    </row>
    <row r="51" spans="1:32" ht="8.1" customHeight="1">
      <c r="A51" s="1526"/>
      <c r="B51" s="1052"/>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698"/>
      <c r="Y51" s="1628"/>
      <c r="Z51" s="1584"/>
      <c r="AA51" s="1584"/>
      <c r="AB51" s="1584"/>
      <c r="AC51" s="1584"/>
      <c r="AD51" s="1584"/>
      <c r="AE51" s="1584"/>
      <c r="AF51" s="1629"/>
    </row>
    <row r="52" spans="1:32" ht="18" customHeight="1">
      <c r="A52" s="1504" t="s">
        <v>3835</v>
      </c>
      <c r="B52" s="1052"/>
      <c r="C52" s="1052"/>
      <c r="D52" s="1052"/>
      <c r="E52" s="1052"/>
      <c r="F52" s="1052"/>
      <c r="G52" s="1488"/>
      <c r="H52" s="1506">
        <f>MIN(IF(OR(EXACT(O18,"X"),EXACT(O18,"x")),MAX(IF(OR(EXACT(AE26,"X"),EXACT(AE26,"x")),10992*P42,13191*P42),H48),IF(OR(EXACT(U18,"X"),EXACT(U18,"x")),MAX(+U42*4033,P48),+MAX(H50,H48)+MAX(+P50,P48))),2110416)</f>
        <v>158292</v>
      </c>
      <c r="I52" s="1507"/>
      <c r="J52" s="1507"/>
      <c r="K52" s="1507"/>
      <c r="L52" s="1507"/>
      <c r="M52" s="877"/>
      <c r="N52" s="1525" t="s">
        <v>193</v>
      </c>
      <c r="O52" s="1052"/>
      <c r="P52" s="1632" t="s">
        <v>3986</v>
      </c>
      <c r="Q52" s="1633"/>
      <c r="R52" s="1633"/>
      <c r="S52" s="1633"/>
      <c r="T52" s="1633"/>
      <c r="U52" s="1634"/>
      <c r="V52" s="1640"/>
      <c r="W52" s="1052"/>
      <c r="X52" s="698"/>
      <c r="Y52" s="419"/>
      <c r="Z52" s="1623"/>
      <c r="AA52" s="1511"/>
      <c r="AB52" s="1511"/>
      <c r="AC52" s="1511"/>
      <c r="AD52" s="1511"/>
      <c r="AE52" s="1512"/>
      <c r="AF52" s="420" t="s">
        <v>193</v>
      </c>
    </row>
    <row r="53" spans="1:32" ht="6.95" customHeight="1">
      <c r="A53" s="1490"/>
      <c r="B53" s="1052"/>
      <c r="C53" s="1052"/>
      <c r="D53" s="1052"/>
      <c r="E53" s="1052"/>
      <c r="F53" s="1052"/>
      <c r="G53" s="1052"/>
      <c r="H53" s="1642"/>
      <c r="I53" s="660"/>
      <c r="J53" s="660"/>
      <c r="K53" s="660"/>
      <c r="L53" s="660"/>
      <c r="M53" s="660"/>
      <c r="N53" s="1052"/>
      <c r="O53" s="1643"/>
      <c r="P53" s="1635"/>
      <c r="Q53" s="682"/>
      <c r="R53" s="682"/>
      <c r="S53" s="682"/>
      <c r="T53" s="682"/>
      <c r="U53" s="1636"/>
      <c r="V53" s="1641"/>
      <c r="W53" s="1052"/>
      <c r="X53" s="698"/>
      <c r="Y53" s="1628"/>
      <c r="Z53" s="1584"/>
      <c r="AA53" s="1584"/>
      <c r="AB53" s="1584"/>
      <c r="AC53" s="1584"/>
      <c r="AD53" s="1584"/>
      <c r="AE53" s="1584"/>
      <c r="AF53" s="1629"/>
    </row>
    <row r="54" spans="1:32" ht="18" customHeight="1">
      <c r="A54" s="1504" t="s">
        <v>3836</v>
      </c>
      <c r="B54" s="1052"/>
      <c r="C54" s="1052"/>
      <c r="D54" s="1052"/>
      <c r="E54" s="1052"/>
      <c r="F54" s="1052"/>
      <c r="G54" s="1488"/>
      <c r="H54" s="1510">
        <f>+H52</f>
        <v>158292</v>
      </c>
      <c r="I54" s="1511"/>
      <c r="J54" s="1511"/>
      <c r="K54" s="1511"/>
      <c r="L54" s="1511"/>
      <c r="M54" s="1512"/>
      <c r="N54" s="1525" t="s">
        <v>193</v>
      </c>
      <c r="O54" s="1052"/>
      <c r="P54" s="1635"/>
      <c r="Q54" s="682"/>
      <c r="R54" s="682"/>
      <c r="S54" s="682"/>
      <c r="T54" s="682"/>
      <c r="U54" s="1636"/>
      <c r="V54" s="1641"/>
      <c r="W54" s="1052"/>
      <c r="X54" s="698"/>
      <c r="Y54" s="419"/>
      <c r="Z54" s="1623"/>
      <c r="AA54" s="1511"/>
      <c r="AB54" s="1511"/>
      <c r="AC54" s="1511"/>
      <c r="AD54" s="1511"/>
      <c r="AE54" s="1512"/>
      <c r="AF54" s="420" t="s">
        <v>193</v>
      </c>
    </row>
    <row r="55" spans="1:32" ht="7.5" customHeight="1">
      <c r="A55" s="1490"/>
      <c r="B55" s="1052"/>
      <c r="C55" s="1052"/>
      <c r="D55" s="1052"/>
      <c r="E55" s="1052"/>
      <c r="F55" s="1052"/>
      <c r="G55" s="1052"/>
      <c r="H55" s="1642"/>
      <c r="I55" s="660"/>
      <c r="J55" s="660"/>
      <c r="K55" s="660"/>
      <c r="L55" s="660"/>
      <c r="M55" s="660"/>
      <c r="N55" s="1052"/>
      <c r="O55" s="1643"/>
      <c r="P55" s="1635"/>
      <c r="Q55" s="682"/>
      <c r="R55" s="682"/>
      <c r="S55" s="682"/>
      <c r="T55" s="682"/>
      <c r="U55" s="1636"/>
      <c r="V55" s="1641"/>
      <c r="W55" s="1052"/>
      <c r="X55" s="698"/>
      <c r="Y55" s="1628"/>
      <c r="Z55" s="1584"/>
      <c r="AA55" s="1584"/>
      <c r="AB55" s="1584"/>
      <c r="AC55" s="1584"/>
      <c r="AD55" s="1584"/>
      <c r="AE55" s="1584"/>
      <c r="AF55" s="1629"/>
    </row>
    <row r="56" spans="1:32" ht="18" customHeight="1">
      <c r="A56" s="1504" t="s">
        <v>3837</v>
      </c>
      <c r="B56" s="1052"/>
      <c r="C56" s="1052"/>
      <c r="D56" s="1052"/>
      <c r="E56" s="1052"/>
      <c r="F56" s="1052"/>
      <c r="G56" s="1488"/>
      <c r="H56" s="1506">
        <f>+IF('DAP2'!E4+H54&gt;2110416,'DAP2'!E4,0)</f>
        <v>0</v>
      </c>
      <c r="I56" s="1644"/>
      <c r="J56" s="1644"/>
      <c r="K56" s="1644"/>
      <c r="L56" s="1644"/>
      <c r="M56" s="785"/>
      <c r="N56" s="1525" t="s">
        <v>193</v>
      </c>
      <c r="O56" s="1052"/>
      <c r="P56" s="1637"/>
      <c r="Q56" s="1638"/>
      <c r="R56" s="1638"/>
      <c r="S56" s="1638"/>
      <c r="T56" s="1638"/>
      <c r="U56" s="1639"/>
      <c r="V56" s="1641"/>
      <c r="W56" s="1052"/>
      <c r="X56" s="698"/>
      <c r="Y56" s="419"/>
      <c r="Z56" s="1623"/>
      <c r="AA56" s="1511"/>
      <c r="AB56" s="1511"/>
      <c r="AC56" s="1511"/>
      <c r="AD56" s="1511"/>
      <c r="AE56" s="1512"/>
      <c r="AF56" s="420" t="s">
        <v>193</v>
      </c>
    </row>
    <row r="57" spans="1:32" ht="7.5" customHeight="1">
      <c r="A57" s="1526"/>
      <c r="B57" s="1052"/>
      <c r="C57" s="1052"/>
      <c r="D57" s="1052"/>
      <c r="E57" s="1052"/>
      <c r="F57" s="1052"/>
      <c r="G57" s="1052"/>
      <c r="H57" s="1052"/>
      <c r="I57" s="1052"/>
      <c r="J57" s="1052"/>
      <c r="K57" s="1052"/>
      <c r="L57" s="1052"/>
      <c r="M57" s="1052"/>
      <c r="N57" s="1052"/>
      <c r="O57" s="1052"/>
      <c r="P57" s="1052"/>
      <c r="Q57" s="1052"/>
      <c r="R57" s="1052"/>
      <c r="S57" s="1052"/>
      <c r="T57" s="1052"/>
      <c r="U57" s="1052"/>
      <c r="V57" s="1052"/>
      <c r="W57" s="1052"/>
      <c r="X57" s="698"/>
      <c r="Y57" s="1628"/>
      <c r="Z57" s="1584"/>
      <c r="AA57" s="1584"/>
      <c r="AB57" s="1584"/>
      <c r="AC57" s="1584"/>
      <c r="AD57" s="1584"/>
      <c r="AE57" s="1584"/>
      <c r="AF57" s="1629"/>
    </row>
    <row r="58" spans="1:32" ht="18.75" customHeight="1">
      <c r="A58" s="1504" t="s">
        <v>3838</v>
      </c>
      <c r="B58" s="1052"/>
      <c r="C58" s="1052"/>
      <c r="D58" s="1052"/>
      <c r="E58" s="1052"/>
      <c r="F58" s="1052"/>
      <c r="G58" s="1488"/>
      <c r="H58" s="1631">
        <f>+H56+H54</f>
        <v>158292</v>
      </c>
      <c r="I58" s="1511"/>
      <c r="J58" s="1511"/>
      <c r="K58" s="1511"/>
      <c r="L58" s="1511"/>
      <c r="M58" s="1512"/>
      <c r="N58" s="1525" t="s">
        <v>193</v>
      </c>
      <c r="O58" s="1052"/>
      <c r="P58" s="1052"/>
      <c r="Q58" s="1052"/>
      <c r="R58" s="1052"/>
      <c r="S58" s="1052"/>
      <c r="T58" s="1052"/>
      <c r="U58" s="1052"/>
      <c r="V58" s="1052"/>
      <c r="W58" s="1052"/>
      <c r="X58" s="698"/>
      <c r="Y58" s="419"/>
      <c r="Z58" s="1623"/>
      <c r="AA58" s="1511"/>
      <c r="AB58" s="1511"/>
      <c r="AC58" s="1511"/>
      <c r="AD58" s="1511"/>
      <c r="AE58" s="1512"/>
      <c r="AF58" s="420" t="s">
        <v>193</v>
      </c>
    </row>
    <row r="59" spans="1:32" ht="6.75" customHeight="1">
      <c r="A59" s="1526"/>
      <c r="B59" s="1052"/>
      <c r="C59" s="1052"/>
      <c r="D59" s="1052"/>
      <c r="E59" s="1052"/>
      <c r="F59" s="1052"/>
      <c r="G59" s="1052"/>
      <c r="H59" s="1052"/>
      <c r="I59" s="1052"/>
      <c r="J59" s="1052"/>
      <c r="K59" s="1052"/>
      <c r="L59" s="1052"/>
      <c r="M59" s="1052"/>
      <c r="N59" s="1052"/>
      <c r="O59" s="1052"/>
      <c r="P59" s="1052"/>
      <c r="Q59" s="1052"/>
      <c r="R59" s="1052"/>
      <c r="S59" s="1052"/>
      <c r="T59" s="1052"/>
      <c r="U59" s="1052"/>
      <c r="V59" s="1052"/>
      <c r="W59" s="1052"/>
      <c r="X59" s="698"/>
      <c r="Y59" s="1628"/>
      <c r="Z59" s="1584"/>
      <c r="AA59" s="1584"/>
      <c r="AB59" s="1584"/>
      <c r="AC59" s="1584"/>
      <c r="AD59" s="1584"/>
      <c r="AE59" s="1584"/>
      <c r="AF59" s="1629"/>
    </row>
    <row r="60" spans="1:32" ht="18.95" customHeight="1">
      <c r="A60" s="1504" t="s">
        <v>3839</v>
      </c>
      <c r="B60" s="1052"/>
      <c r="C60" s="1052"/>
      <c r="D60" s="1052"/>
      <c r="E60" s="1052"/>
      <c r="F60" s="1052"/>
      <c r="G60" s="1488"/>
      <c r="H60" s="1652">
        <f>IF(H58&lt;2110416,H54,MAX(0,2110416-H56))</f>
        <v>158292</v>
      </c>
      <c r="I60" s="1507"/>
      <c r="J60" s="1507"/>
      <c r="K60" s="1507"/>
      <c r="L60" s="1507"/>
      <c r="M60" s="877"/>
      <c r="N60" s="1525" t="s">
        <v>193</v>
      </c>
      <c r="O60" s="1052"/>
      <c r="P60" s="1052"/>
      <c r="Q60" s="1052"/>
      <c r="R60" s="1052"/>
      <c r="S60" s="1052"/>
      <c r="T60" s="1052"/>
      <c r="U60" s="1052"/>
      <c r="V60" s="1052"/>
      <c r="W60" s="1052"/>
      <c r="X60" s="698"/>
      <c r="Y60" s="419"/>
      <c r="Z60" s="1623"/>
      <c r="AA60" s="1511"/>
      <c r="AB60" s="1511"/>
      <c r="AC60" s="1511"/>
      <c r="AD60" s="1511"/>
      <c r="AE60" s="1512"/>
      <c r="AF60" s="420" t="s">
        <v>193</v>
      </c>
    </row>
    <row r="61" spans="1:32" ht="7.5" customHeight="1">
      <c r="A61" s="1526"/>
      <c r="B61" s="1052"/>
      <c r="C61" s="1052"/>
      <c r="D61" s="1052"/>
      <c r="E61" s="1052"/>
      <c r="F61" s="1052"/>
      <c r="G61" s="1052"/>
      <c r="H61" s="1052"/>
      <c r="I61" s="1052"/>
      <c r="J61" s="1052"/>
      <c r="K61" s="1052"/>
      <c r="L61" s="1052"/>
      <c r="M61" s="1052"/>
      <c r="N61" s="1052"/>
      <c r="O61" s="1052"/>
      <c r="P61" s="1052"/>
      <c r="Q61" s="1052"/>
      <c r="R61" s="1052"/>
      <c r="S61" s="1052"/>
      <c r="T61" s="1052"/>
      <c r="U61" s="1052"/>
      <c r="V61" s="1052"/>
      <c r="W61" s="1052"/>
      <c r="X61" s="698"/>
      <c r="Y61" s="1628"/>
      <c r="Z61" s="1584"/>
      <c r="AA61" s="1584"/>
      <c r="AB61" s="1584"/>
      <c r="AC61" s="1584"/>
      <c r="AD61" s="1584"/>
      <c r="AE61" s="1584"/>
      <c r="AF61" s="1629"/>
    </row>
    <row r="62" spans="1:32" ht="18.95" customHeight="1">
      <c r="A62" s="1504" t="s">
        <v>3840</v>
      </c>
      <c r="B62" s="1052"/>
      <c r="C62" s="1052"/>
      <c r="D62" s="1052"/>
      <c r="E62" s="1052"/>
      <c r="F62" s="1052"/>
      <c r="G62" s="1488"/>
      <c r="H62" s="1631">
        <f>+CEILING(H60*0.292,1)</f>
        <v>46222</v>
      </c>
      <c r="I62" s="1511"/>
      <c r="J62" s="1511"/>
      <c r="K62" s="1511"/>
      <c r="L62" s="1511"/>
      <c r="M62" s="1512"/>
      <c r="N62" s="1525" t="s">
        <v>193</v>
      </c>
      <c r="O62" s="1052"/>
      <c r="P62" s="1052"/>
      <c r="Q62" s="1052"/>
      <c r="R62" s="1052"/>
      <c r="S62" s="1052"/>
      <c r="T62" s="1052"/>
      <c r="U62" s="1052"/>
      <c r="V62" s="1052"/>
      <c r="W62" s="1052"/>
      <c r="X62" s="698"/>
      <c r="Y62" s="419"/>
      <c r="Z62" s="1623"/>
      <c r="AA62" s="1511"/>
      <c r="AB62" s="1511"/>
      <c r="AC62" s="1511"/>
      <c r="AD62" s="1511"/>
      <c r="AE62" s="1512"/>
      <c r="AF62" s="420" t="s">
        <v>193</v>
      </c>
    </row>
    <row r="63" spans="1:32" ht="7.5" customHeight="1">
      <c r="A63" s="1526"/>
      <c r="B63" s="1052"/>
      <c r="C63" s="1052"/>
      <c r="D63" s="1052"/>
      <c r="E63" s="1052"/>
      <c r="F63" s="1052"/>
      <c r="G63" s="1052"/>
      <c r="H63" s="1052"/>
      <c r="I63" s="1052"/>
      <c r="J63" s="1052"/>
      <c r="K63" s="1052"/>
      <c r="L63" s="1052"/>
      <c r="M63" s="1052"/>
      <c r="N63" s="1052"/>
      <c r="O63" s="1052"/>
      <c r="P63" s="1052"/>
      <c r="Q63" s="1052"/>
      <c r="R63" s="1052"/>
      <c r="S63" s="1052"/>
      <c r="T63" s="1052"/>
      <c r="U63" s="1052"/>
      <c r="V63" s="1052"/>
      <c r="W63" s="1052"/>
      <c r="X63" s="698"/>
      <c r="Y63" s="1628"/>
      <c r="Z63" s="1584"/>
      <c r="AA63" s="1584"/>
      <c r="AB63" s="1584"/>
      <c r="AC63" s="1584"/>
      <c r="AD63" s="1584"/>
      <c r="AE63" s="1584"/>
      <c r="AF63" s="1629"/>
    </row>
    <row r="64" spans="1:32" ht="18.95" customHeight="1">
      <c r="A64" s="1504" t="s">
        <v>3841</v>
      </c>
      <c r="B64" s="1493"/>
      <c r="C64" s="1493"/>
      <c r="D64" s="1493"/>
      <c r="E64" s="1493"/>
      <c r="F64" s="1493"/>
      <c r="G64" s="1645"/>
      <c r="H64" s="1510">
        <v>0</v>
      </c>
      <c r="I64" s="1646"/>
      <c r="J64" s="1646"/>
      <c r="K64" s="1646"/>
      <c r="L64" s="1646"/>
      <c r="M64" s="1647"/>
      <c r="N64" s="1630" t="s">
        <v>193</v>
      </c>
      <c r="O64" s="1648"/>
      <c r="P64" s="1648"/>
      <c r="Q64" s="1648"/>
      <c r="R64" s="1648"/>
      <c r="S64" s="1648"/>
      <c r="T64" s="1648"/>
      <c r="U64" s="1648"/>
      <c r="V64" s="1648"/>
      <c r="W64" s="1648"/>
      <c r="X64" s="1649"/>
      <c r="Y64" s="419"/>
      <c r="Z64" s="1623"/>
      <c r="AA64" s="1650"/>
      <c r="AB64" s="1650"/>
      <c r="AC64" s="1650"/>
      <c r="AD64" s="1650"/>
      <c r="AE64" s="1651"/>
      <c r="AF64" s="420" t="s">
        <v>193</v>
      </c>
    </row>
    <row r="65" spans="1:32" ht="7.5" customHeight="1">
      <c r="A65" s="1526"/>
      <c r="B65" s="1052"/>
      <c r="C65" s="1052"/>
      <c r="D65" s="1052"/>
      <c r="E65" s="1052"/>
      <c r="F65" s="1052"/>
      <c r="G65" s="1052"/>
      <c r="H65" s="1052"/>
      <c r="I65" s="1052"/>
      <c r="J65" s="1052"/>
      <c r="K65" s="1052"/>
      <c r="L65" s="1052"/>
      <c r="M65" s="1052"/>
      <c r="N65" s="1052"/>
      <c r="O65" s="1052"/>
      <c r="P65" s="1052"/>
      <c r="Q65" s="1052"/>
      <c r="R65" s="1052"/>
      <c r="S65" s="1052"/>
      <c r="T65" s="1052"/>
      <c r="U65" s="1052"/>
      <c r="V65" s="1052"/>
      <c r="W65" s="1052"/>
      <c r="X65" s="698"/>
      <c r="Y65" s="1628"/>
      <c r="Z65" s="1584"/>
      <c r="AA65" s="1584"/>
      <c r="AB65" s="1584"/>
      <c r="AC65" s="1584"/>
      <c r="AD65" s="1584"/>
      <c r="AE65" s="1584"/>
      <c r="AF65" s="1629"/>
    </row>
    <row r="66" spans="1:32" ht="18.95" customHeight="1">
      <c r="A66" s="1499" t="s">
        <v>3842</v>
      </c>
      <c r="B66" s="1017"/>
      <c r="C66" s="1017"/>
      <c r="D66" s="682"/>
      <c r="E66" s="682"/>
      <c r="F66" s="682"/>
      <c r="G66" s="682"/>
      <c r="H66" s="1652">
        <f>+H62-H64</f>
        <v>46222</v>
      </c>
      <c r="I66" s="1507"/>
      <c r="J66" s="1507"/>
      <c r="K66" s="1507"/>
      <c r="L66" s="1507"/>
      <c r="M66" s="877"/>
      <c r="N66" s="1525" t="s">
        <v>193</v>
      </c>
      <c r="O66" s="1052"/>
      <c r="P66" s="1052"/>
      <c r="Q66" s="1052"/>
      <c r="R66" s="1052"/>
      <c r="S66" s="1052"/>
      <c r="T66" s="1052"/>
      <c r="U66" s="1052"/>
      <c r="V66" s="1052"/>
      <c r="W66" s="1052"/>
      <c r="X66" s="698"/>
      <c r="Y66" s="419"/>
      <c r="Z66" s="1623"/>
      <c r="AA66" s="1511"/>
      <c r="AB66" s="1511"/>
      <c r="AC66" s="1511"/>
      <c r="AD66" s="1511"/>
      <c r="AE66" s="1512"/>
      <c r="AF66" s="420" t="s">
        <v>193</v>
      </c>
    </row>
    <row r="67" spans="1:32" ht="7.5" customHeight="1">
      <c r="A67" s="1659"/>
      <c r="B67" s="1017"/>
      <c r="C67" s="1017"/>
      <c r="D67" s="682"/>
      <c r="E67" s="682"/>
      <c r="F67" s="682"/>
      <c r="G67" s="682"/>
      <c r="H67" s="1584"/>
      <c r="I67" s="1584"/>
      <c r="J67" s="1584"/>
      <c r="K67" s="1584"/>
      <c r="L67" s="1584"/>
      <c r="M67" s="1584"/>
      <c r="N67" s="1584"/>
      <c r="O67" s="1584"/>
      <c r="P67" s="1584"/>
      <c r="Q67" s="1584"/>
      <c r="R67" s="1584"/>
      <c r="S67" s="1584"/>
      <c r="T67" s="1584"/>
      <c r="U67" s="1584"/>
      <c r="V67" s="1584"/>
      <c r="W67" s="1584"/>
      <c r="X67" s="1658"/>
      <c r="Y67" s="1628"/>
      <c r="Z67" s="1584"/>
      <c r="AA67" s="1584"/>
      <c r="AB67" s="1584"/>
      <c r="AC67" s="1584"/>
      <c r="AD67" s="1584"/>
      <c r="AE67" s="1584"/>
      <c r="AF67" s="1629"/>
    </row>
    <row r="68" spans="1:32" ht="12.95" customHeight="1">
      <c r="A68" s="1517" t="s">
        <v>3980</v>
      </c>
      <c r="B68" s="1662"/>
      <c r="C68" s="1662"/>
      <c r="D68" s="1662"/>
      <c r="E68" s="1662"/>
      <c r="F68" s="1662"/>
      <c r="G68" s="1662"/>
      <c r="H68" s="1662"/>
      <c r="I68" s="1662"/>
      <c r="J68" s="1662"/>
      <c r="K68" s="1662"/>
      <c r="L68" s="1662"/>
      <c r="M68" s="1662"/>
      <c r="N68" s="1662"/>
      <c r="O68" s="1662"/>
      <c r="P68" s="1662"/>
      <c r="Q68" s="1662"/>
      <c r="R68" s="1662"/>
      <c r="S68" s="1662"/>
      <c r="T68" s="1662"/>
      <c r="U68" s="1662"/>
      <c r="V68" s="1662"/>
      <c r="W68" s="1662"/>
      <c r="X68" s="1662"/>
      <c r="Y68" s="1662"/>
      <c r="Z68" s="1662"/>
      <c r="AA68" s="1662"/>
      <c r="AB68" s="1662"/>
      <c r="AC68" s="1662"/>
      <c r="AD68" s="1662"/>
      <c r="AE68" s="1662"/>
      <c r="AF68" s="877"/>
    </row>
    <row r="69" spans="1:32" ht="24" customHeight="1">
      <c r="A69" s="1663" t="s">
        <v>3981</v>
      </c>
      <c r="B69" s="1664"/>
      <c r="C69" s="1664"/>
      <c r="D69" s="1664"/>
      <c r="E69" s="1664"/>
      <c r="F69" s="1664"/>
      <c r="G69" s="1664"/>
      <c r="H69" s="1664"/>
      <c r="I69" s="1664"/>
      <c r="J69" s="1664"/>
      <c r="K69" s="1664"/>
      <c r="L69" s="1664"/>
      <c r="M69" s="1664"/>
      <c r="N69" s="1664"/>
      <c r="O69" s="1664"/>
      <c r="P69" s="1664"/>
      <c r="Q69" s="1664"/>
      <c r="R69" s="1664"/>
      <c r="S69" s="1664"/>
      <c r="T69" s="1664"/>
      <c r="U69" s="1664"/>
      <c r="V69" s="1664"/>
      <c r="W69" s="1664"/>
      <c r="X69" s="1664"/>
      <c r="Y69" s="1665"/>
      <c r="Z69" s="1665"/>
      <c r="AA69" s="1665"/>
      <c r="AB69" s="1665"/>
      <c r="AC69" s="632" t="s">
        <v>224</v>
      </c>
      <c r="AD69" s="633"/>
      <c r="AE69" s="634" t="s">
        <v>134</v>
      </c>
      <c r="AF69" s="633" t="s">
        <v>246</v>
      </c>
    </row>
    <row r="70" spans="1:32" ht="15" customHeight="1">
      <c r="A70" s="1657"/>
      <c r="B70" s="660"/>
      <c r="C70" s="660"/>
      <c r="D70" s="660"/>
      <c r="E70" s="660"/>
      <c r="F70" s="660"/>
      <c r="G70" s="660"/>
      <c r="H70" s="660"/>
      <c r="I70" s="660"/>
      <c r="J70" s="660"/>
      <c r="K70" s="660"/>
      <c r="L70" s="660"/>
      <c r="M70" s="660"/>
      <c r="N70" s="660"/>
      <c r="O70" s="660"/>
      <c r="P70" s="660"/>
      <c r="Q70" s="660"/>
      <c r="R70" s="660"/>
      <c r="S70" s="660"/>
      <c r="T70" s="660"/>
      <c r="U70" s="660"/>
      <c r="V70" s="660"/>
      <c r="W70" s="660"/>
      <c r="X70" s="660"/>
      <c r="Y70" s="1052"/>
      <c r="Z70" s="1052"/>
      <c r="AA70" s="1052"/>
      <c r="AB70" s="1052"/>
      <c r="AC70" s="1052"/>
      <c r="AD70" s="1660" t="s">
        <v>161</v>
      </c>
      <c r="AE70" s="1660"/>
      <c r="AF70" s="1661"/>
    </row>
    <row r="71" spans="1:32">
      <c r="A71" s="1653" t="str">
        <f>+'DAP1'!A46</f>
        <v>Formulář zpracovala ASPEKT HM, daňová, účetní a auditorská kancelář, www.danovapriznani.cz, business.center.cz</v>
      </c>
      <c r="B71" s="1430"/>
      <c r="C71" s="1430"/>
      <c r="D71" s="1430"/>
      <c r="E71" s="1430"/>
      <c r="F71" s="1430"/>
      <c r="G71" s="1430"/>
      <c r="H71" s="1430"/>
      <c r="I71" s="1430"/>
      <c r="J71" s="1430"/>
      <c r="K71" s="1430"/>
      <c r="L71" s="1430"/>
      <c r="M71" s="1430"/>
      <c r="N71" s="1430"/>
      <c r="O71" s="1430"/>
      <c r="P71" s="1430"/>
      <c r="Q71" s="1430"/>
      <c r="R71" s="1430"/>
      <c r="S71" s="1430"/>
      <c r="T71" s="1430"/>
      <c r="U71" s="1430"/>
      <c r="V71" s="1430"/>
      <c r="W71" s="1430"/>
      <c r="X71" s="1430"/>
      <c r="Y71" s="557"/>
      <c r="Z71" s="557"/>
      <c r="AA71" s="557"/>
      <c r="AB71" s="1654" t="s">
        <v>3976</v>
      </c>
      <c r="AC71" s="1655"/>
      <c r="AD71" s="1655"/>
      <c r="AE71" s="1655"/>
      <c r="AF71" s="1656"/>
    </row>
    <row r="72" spans="1:3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s="21" customFormat="1"/>
    <row r="163" spans="1:32" s="21" customFormat="1"/>
  </sheetData>
  <sheetProtection algorithmName="SHA-512" hashValue="IGmSO/YvuYYOq4W/xMvmhFuFO4QO1rAE34RCzhhdrtNaYhMbjAYNf4V0APc2zH8P/jPGgQ9H+VCLIZGWt68+Gg==" saltValue="0Zwi7M3f72UaTxrvEEjPnA==" spinCount="100000" sheet="1" objects="1" scenarios="1"/>
  <mergeCells count="212">
    <mergeCell ref="Y65:AF65"/>
    <mergeCell ref="H66:M66"/>
    <mergeCell ref="N66:X66"/>
    <mergeCell ref="Z66:AE66"/>
    <mergeCell ref="Y67:AF67"/>
    <mergeCell ref="A71:X71"/>
    <mergeCell ref="A65:X65"/>
    <mergeCell ref="AB71:AF71"/>
    <mergeCell ref="A70:AC70"/>
    <mergeCell ref="H67:X67"/>
    <mergeCell ref="A66:C67"/>
    <mergeCell ref="D66:G67"/>
    <mergeCell ref="AD70:AF70"/>
    <mergeCell ref="A68:AF68"/>
    <mergeCell ref="A69:X69"/>
    <mergeCell ref="Y69:AB69"/>
    <mergeCell ref="A64:G64"/>
    <mergeCell ref="H64:M64"/>
    <mergeCell ref="N64:X64"/>
    <mergeCell ref="Z64:AE64"/>
    <mergeCell ref="A63:X63"/>
    <mergeCell ref="Y59:AF59"/>
    <mergeCell ref="A60:G60"/>
    <mergeCell ref="H60:M60"/>
    <mergeCell ref="N60:X60"/>
    <mergeCell ref="Z60:AE60"/>
    <mergeCell ref="Y61:AF61"/>
    <mergeCell ref="A59:X59"/>
    <mergeCell ref="A61:X61"/>
    <mergeCell ref="A62:G62"/>
    <mergeCell ref="H62:M62"/>
    <mergeCell ref="N62:X62"/>
    <mergeCell ref="Z62:AE62"/>
    <mergeCell ref="Y63:AF63"/>
    <mergeCell ref="A54:G54"/>
    <mergeCell ref="A56:G56"/>
    <mergeCell ref="A58:G58"/>
    <mergeCell ref="N58:X58"/>
    <mergeCell ref="H58:M58"/>
    <mergeCell ref="Z58:AE58"/>
    <mergeCell ref="Z56:AE56"/>
    <mergeCell ref="Y57:AF57"/>
    <mergeCell ref="P52:U56"/>
    <mergeCell ref="V52:X56"/>
    <mergeCell ref="H55:O55"/>
    <mergeCell ref="H53:O53"/>
    <mergeCell ref="A57:X57"/>
    <mergeCell ref="H56:M56"/>
    <mergeCell ref="N56:O56"/>
    <mergeCell ref="A53:G53"/>
    <mergeCell ref="A55:G55"/>
    <mergeCell ref="H52:M52"/>
    <mergeCell ref="H54:M54"/>
    <mergeCell ref="N52:O52"/>
    <mergeCell ref="N54:O54"/>
    <mergeCell ref="Y51:AF51"/>
    <mergeCell ref="Z52:AE52"/>
    <mergeCell ref="Y55:AF55"/>
    <mergeCell ref="Y53:AF53"/>
    <mergeCell ref="Z54:AE54"/>
    <mergeCell ref="H49:M49"/>
    <mergeCell ref="H46:M46"/>
    <mergeCell ref="A48:G48"/>
    <mergeCell ref="A51:X51"/>
    <mergeCell ref="Y47:AF47"/>
    <mergeCell ref="Z48:AE48"/>
    <mergeCell ref="P46:U46"/>
    <mergeCell ref="P48:U48"/>
    <mergeCell ref="Y49:AF49"/>
    <mergeCell ref="Z50:AE50"/>
    <mergeCell ref="V49:X49"/>
    <mergeCell ref="V50:X50"/>
    <mergeCell ref="A50:G50"/>
    <mergeCell ref="N50:O50"/>
    <mergeCell ref="H50:M50"/>
    <mergeCell ref="V47:X47"/>
    <mergeCell ref="V48:X48"/>
    <mergeCell ref="A47:G47"/>
    <mergeCell ref="A52:G52"/>
    <mergeCell ref="N48:O48"/>
    <mergeCell ref="Q42:T42"/>
    <mergeCell ref="V42:X42"/>
    <mergeCell ref="Z46:AE46"/>
    <mergeCell ref="D11:N11"/>
    <mergeCell ref="A43:N43"/>
    <mergeCell ref="O43:Q43"/>
    <mergeCell ref="R43:S43"/>
    <mergeCell ref="T43:V43"/>
    <mergeCell ref="W43:X43"/>
    <mergeCell ref="Y43:AA43"/>
    <mergeCell ref="AB43:AC43"/>
    <mergeCell ref="AD43:AF43"/>
    <mergeCell ref="Y38:AF38"/>
    <mergeCell ref="N38:X38"/>
    <mergeCell ref="AD21:AF21"/>
    <mergeCell ref="P18:T18"/>
    <mergeCell ref="O39:Q39"/>
    <mergeCell ref="A42:O42"/>
    <mergeCell ref="N44:X44"/>
    <mergeCell ref="H32:K32"/>
    <mergeCell ref="AB39:AC39"/>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A32:F32"/>
    <mergeCell ref="A34:F34"/>
    <mergeCell ref="L30:AD30"/>
    <mergeCell ref="L32:AD32"/>
    <mergeCell ref="L34:AD34"/>
    <mergeCell ref="A31:AF31"/>
    <mergeCell ref="AD39:AF39"/>
    <mergeCell ref="V45:X45"/>
    <mergeCell ref="V46:X46"/>
    <mergeCell ref="H45:M45"/>
    <mergeCell ref="W41:X41"/>
    <mergeCell ref="P45:U45"/>
    <mergeCell ref="Y39:AA39"/>
    <mergeCell ref="A37:X37"/>
    <mergeCell ref="Y37:AF37"/>
    <mergeCell ref="T39:V39"/>
    <mergeCell ref="Q40:T40"/>
    <mergeCell ref="R39:S39"/>
    <mergeCell ref="V40:X40"/>
    <mergeCell ref="A33:AF33"/>
    <mergeCell ref="A35:AF35"/>
    <mergeCell ref="U6:AF6"/>
    <mergeCell ref="G5:T6"/>
    <mergeCell ref="U5:AF5"/>
    <mergeCell ref="Q10:W10"/>
    <mergeCell ref="H10:O10"/>
    <mergeCell ref="V11:AF11"/>
    <mergeCell ref="P12:T12"/>
    <mergeCell ref="A5:F5"/>
    <mergeCell ref="A6:F6"/>
    <mergeCell ref="P11:T11"/>
    <mergeCell ref="D12:N12"/>
    <mergeCell ref="A10:F10"/>
    <mergeCell ref="A9:F9"/>
    <mergeCell ref="A12:B12"/>
    <mergeCell ref="A11:B11"/>
    <mergeCell ref="V12:AF12"/>
    <mergeCell ref="Y14:AF14"/>
    <mergeCell ref="P13:W13"/>
    <mergeCell ref="P14:W14"/>
    <mergeCell ref="D13:N13"/>
    <mergeCell ref="D14:N14"/>
    <mergeCell ref="A13:B13"/>
    <mergeCell ref="Y13:AF13"/>
    <mergeCell ref="A14:B14"/>
    <mergeCell ref="P50:U50"/>
    <mergeCell ref="A39:N39"/>
    <mergeCell ref="A49:G49"/>
    <mergeCell ref="A38:G38"/>
    <mergeCell ref="H38:M38"/>
    <mergeCell ref="P49:U49"/>
    <mergeCell ref="H47:M47"/>
    <mergeCell ref="A36:AF36"/>
    <mergeCell ref="A44:G44"/>
    <mergeCell ref="H44:M44"/>
    <mergeCell ref="A46:G46"/>
    <mergeCell ref="A45:G45"/>
    <mergeCell ref="P47:U47"/>
    <mergeCell ref="H48:M48"/>
    <mergeCell ref="A41:N41"/>
    <mergeCell ref="N46:O46"/>
    <mergeCell ref="A40:O40"/>
    <mergeCell ref="AD41:AF41"/>
    <mergeCell ref="AB41:AC41"/>
    <mergeCell ref="Y41:AA41"/>
    <mergeCell ref="O41:Q41"/>
    <mergeCell ref="W39:X39"/>
    <mergeCell ref="R41:S41"/>
    <mergeCell ref="T41:V41"/>
    <mergeCell ref="AA40:AB40"/>
    <mergeCell ref="AD40:AF40"/>
    <mergeCell ref="AA42:AB42"/>
    <mergeCell ref="AD42:AF42"/>
    <mergeCell ref="Y44:AF45"/>
    <mergeCell ref="V18:Z18"/>
    <mergeCell ref="A23:F23"/>
    <mergeCell ref="AD23:AF23"/>
    <mergeCell ref="A24:E25"/>
    <mergeCell ref="G25:AF25"/>
    <mergeCell ref="A18:N18"/>
    <mergeCell ref="H30:K30"/>
    <mergeCell ref="A19:F19"/>
    <mergeCell ref="AD19:AF19"/>
    <mergeCell ref="A30:F30"/>
    <mergeCell ref="A20:E20"/>
    <mergeCell ref="A22:E22"/>
    <mergeCell ref="A21:F21"/>
    <mergeCell ref="AB18:AF18"/>
    <mergeCell ref="A28:AF28"/>
    <mergeCell ref="A26:AD26"/>
    <mergeCell ref="A27:AF27"/>
    <mergeCell ref="A29:AF29"/>
    <mergeCell ref="H34:K34"/>
  </mergeCells>
  <phoneticPr fontId="11" type="noConversion"/>
  <printOptions horizontalCentered="1" verticalCentered="1"/>
  <pageMargins left="0.19685039370078741" right="0.19685039370078741" top="0.39370078740157483" bottom="0.39370078740157483" header="0.51181102362204722" footer="0.51181102362204722"/>
  <pageSetup paperSize="9" scale="82"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tabColor rgb="FFFFFF99"/>
    <pageSetUpPr fitToPage="1"/>
  </sheetPr>
  <dimension ref="A1:CI1059"/>
  <sheetViews>
    <sheetView workbookViewId="0">
      <selection activeCell="AH9" sqref="AH9:AN9"/>
    </sheetView>
  </sheetViews>
  <sheetFormatPr defaultColWidth="9.140625" defaultRowHeight="12.75"/>
  <cols>
    <col min="1" max="2" width="2.42578125" style="123" customWidth="1"/>
    <col min="3" max="3" width="16.7109375" style="123" customWidth="1"/>
    <col min="4" max="4" width="3.140625" style="123" customWidth="1"/>
    <col min="5" max="5" width="2.42578125" style="123" customWidth="1"/>
    <col min="6" max="6" width="1.7109375" style="123" customWidth="1"/>
    <col min="7" max="40" width="2.42578125" style="123" customWidth="1"/>
    <col min="41" max="41" width="3" style="123" customWidth="1"/>
    <col min="42" max="81" width="9.140625" style="21"/>
    <col min="82" max="16384" width="9.140625" style="123"/>
  </cols>
  <sheetData>
    <row r="1" spans="1:83" ht="18" customHeight="1">
      <c r="A1" s="1759"/>
      <c r="B1" s="1616"/>
      <c r="C1" s="1616"/>
      <c r="D1" s="1750" t="s">
        <v>3994</v>
      </c>
      <c r="E1" s="1750"/>
      <c r="F1" s="1750"/>
      <c r="G1" s="1750"/>
      <c r="H1" s="1750"/>
      <c r="I1" s="1750"/>
      <c r="J1" s="1750"/>
      <c r="K1" s="1750"/>
      <c r="L1" s="1616"/>
      <c r="M1" s="1616"/>
      <c r="N1" s="1616"/>
      <c r="O1" s="1616"/>
      <c r="P1" s="1616"/>
      <c r="Q1" s="1616"/>
      <c r="R1" s="1616"/>
      <c r="S1" s="1616"/>
      <c r="T1" s="1616"/>
      <c r="U1" s="1616"/>
      <c r="V1" s="1616"/>
      <c r="W1" s="1616"/>
      <c r="X1" s="1616"/>
      <c r="Y1" s="1616"/>
      <c r="Z1" s="1616"/>
      <c r="AA1" s="1616"/>
      <c r="AB1" s="1616"/>
      <c r="AC1" s="1616"/>
      <c r="AD1" s="1616"/>
      <c r="AE1" s="1616"/>
      <c r="AF1" s="1616"/>
      <c r="AG1" s="1616"/>
      <c r="AH1" s="1616"/>
      <c r="AI1" s="1616"/>
      <c r="AJ1" s="286"/>
      <c r="AK1" s="286"/>
      <c r="AL1" s="286"/>
      <c r="AM1" s="286"/>
      <c r="AN1" s="286"/>
      <c r="AO1" s="286"/>
      <c r="CD1" s="21"/>
      <c r="CE1" s="21"/>
    </row>
    <row r="2" spans="1:83">
      <c r="A2" s="1756"/>
      <c r="B2" s="1756"/>
      <c r="C2" s="1756"/>
      <c r="D2" s="1695"/>
      <c r="E2" s="655"/>
      <c r="F2" s="655"/>
      <c r="G2" s="655"/>
      <c r="H2" s="655"/>
      <c r="I2" s="655"/>
      <c r="J2" s="655"/>
      <c r="K2" s="655"/>
      <c r="L2" s="655"/>
      <c r="M2" s="655"/>
      <c r="N2" s="1751" t="s">
        <v>151</v>
      </c>
      <c r="O2" s="1752"/>
      <c r="P2" s="1752"/>
      <c r="Q2" s="1752"/>
      <c r="R2" s="1752"/>
      <c r="S2" s="1752"/>
      <c r="T2" s="1752"/>
      <c r="U2" s="1752"/>
      <c r="V2" s="1752"/>
      <c r="W2" s="1757"/>
      <c r="X2" s="655"/>
      <c r="Y2" s="655"/>
      <c r="Z2" s="655"/>
      <c r="AA2" s="655"/>
      <c r="AB2" s="655"/>
      <c r="AC2" s="655"/>
      <c r="AD2" s="655"/>
      <c r="AE2" s="655"/>
      <c r="AF2" s="655"/>
      <c r="AG2" s="655"/>
      <c r="AH2" s="655"/>
      <c r="AI2" s="19"/>
      <c r="AJ2" s="286"/>
      <c r="AK2" s="286"/>
      <c r="AL2" s="286"/>
      <c r="AM2" s="286"/>
      <c r="AN2" s="286"/>
      <c r="AO2" s="286"/>
      <c r="CD2" s="21"/>
      <c r="CE2" s="21"/>
    </row>
    <row r="3" spans="1:83">
      <c r="A3" s="1756"/>
      <c r="B3" s="1756"/>
      <c r="C3" s="1756"/>
      <c r="D3" s="655"/>
      <c r="E3" s="655"/>
      <c r="F3" s="655"/>
      <c r="G3" s="655"/>
      <c r="H3" s="655"/>
      <c r="I3" s="655"/>
      <c r="J3" s="655"/>
      <c r="K3" s="655"/>
      <c r="L3" s="655"/>
      <c r="M3" s="655"/>
      <c r="N3" s="1753" t="str">
        <f>+'SP1'!Y10</f>
        <v/>
      </c>
      <c r="O3" s="1754"/>
      <c r="P3" s="1754"/>
      <c r="Q3" s="1754"/>
      <c r="R3" s="1754"/>
      <c r="S3" s="1754"/>
      <c r="T3" s="1754"/>
      <c r="U3" s="1754"/>
      <c r="V3" s="1283"/>
      <c r="W3" s="1612"/>
      <c r="X3" s="1758"/>
      <c r="Y3" s="1758"/>
      <c r="Z3" s="1758"/>
      <c r="AA3" s="1758"/>
      <c r="AB3" s="1758"/>
      <c r="AC3" s="1758"/>
      <c r="AD3" s="1758"/>
      <c r="AE3" s="1758"/>
      <c r="AF3" s="1758"/>
      <c r="AG3" s="1758"/>
      <c r="AH3" s="1758"/>
      <c r="AI3" s="1758"/>
      <c r="AJ3" s="1758"/>
      <c r="AK3" s="1758"/>
      <c r="AL3" s="1758"/>
      <c r="AM3" s="1758"/>
      <c r="AN3" s="1758"/>
      <c r="AO3" s="1758"/>
      <c r="CD3" s="21"/>
      <c r="CE3" s="21"/>
    </row>
    <row r="4" spans="1:83" ht="5.0999999999999996" customHeight="1">
      <c r="A4" s="1603"/>
      <c r="B4" s="1603"/>
      <c r="C4" s="1603"/>
      <c r="D4" s="1603"/>
      <c r="E4" s="1603"/>
      <c r="F4" s="1603"/>
      <c r="G4" s="1603"/>
      <c r="H4" s="1603"/>
      <c r="I4" s="1603"/>
      <c r="J4" s="1603"/>
      <c r="K4" s="1603"/>
      <c r="L4" s="1603"/>
      <c r="M4" s="1603"/>
      <c r="N4" s="1603"/>
      <c r="O4" s="1603"/>
      <c r="P4" s="1603"/>
      <c r="Q4" s="1603"/>
      <c r="R4" s="1603"/>
      <c r="S4" s="1603"/>
      <c r="T4" s="1603"/>
      <c r="U4" s="1603"/>
      <c r="V4" s="1603"/>
      <c r="W4" s="1603"/>
      <c r="X4" s="1603"/>
      <c r="Y4" s="1603"/>
      <c r="Z4" s="1603"/>
      <c r="AA4" s="1603"/>
      <c r="AB4" s="1756"/>
      <c r="AC4" s="1756"/>
      <c r="AD4" s="1756"/>
      <c r="AE4" s="1756"/>
      <c r="AF4" s="1756"/>
      <c r="AG4" s="1756"/>
      <c r="AH4" s="1756"/>
      <c r="AI4" s="1756"/>
      <c r="AJ4" s="1756"/>
      <c r="AK4" s="1756"/>
      <c r="AL4" s="1756"/>
      <c r="AM4" s="1756"/>
      <c r="AN4" s="1756"/>
      <c r="AO4" s="1756"/>
    </row>
    <row r="5" spans="1:83" ht="12" customHeight="1">
      <c r="A5" s="1517" t="s">
        <v>3987</v>
      </c>
      <c r="B5" s="1518"/>
      <c r="C5" s="1518"/>
      <c r="D5" s="1518"/>
      <c r="E5" s="1518"/>
      <c r="F5" s="1518"/>
      <c r="G5" s="1518"/>
      <c r="H5" s="1518"/>
      <c r="I5" s="1518"/>
      <c r="J5" s="1518"/>
      <c r="K5" s="1518"/>
      <c r="L5" s="1518"/>
      <c r="M5" s="1518"/>
      <c r="N5" s="1518"/>
      <c r="O5" s="1518"/>
      <c r="P5" s="1518"/>
      <c r="Q5" s="1518"/>
      <c r="R5" s="1518"/>
      <c r="S5" s="1518"/>
      <c r="T5" s="1518"/>
      <c r="U5" s="1518"/>
      <c r="V5" s="1518"/>
      <c r="W5" s="1518"/>
      <c r="X5" s="1518"/>
      <c r="Y5" s="1518"/>
      <c r="Z5" s="1518"/>
      <c r="AA5" s="1518"/>
      <c r="AB5" s="1518"/>
      <c r="AC5" s="1518"/>
      <c r="AD5" s="1518"/>
      <c r="AE5" s="1518"/>
      <c r="AF5" s="1518"/>
      <c r="AG5" s="1518"/>
      <c r="AH5" s="1518"/>
      <c r="AI5" s="1518"/>
      <c r="AJ5" s="1518"/>
      <c r="AK5" s="1518"/>
      <c r="AL5" s="1518"/>
      <c r="AM5" s="1518"/>
      <c r="AN5" s="1518"/>
      <c r="AO5" s="1519"/>
    </row>
    <row r="6" spans="1:83" ht="4.5" customHeight="1">
      <c r="A6" s="1526"/>
      <c r="B6" s="1052"/>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698"/>
    </row>
    <row r="7" spans="1:83" ht="18.75" customHeight="1">
      <c r="A7" s="1808" t="s">
        <v>3988</v>
      </c>
      <c r="B7" s="682"/>
      <c r="C7" s="682"/>
      <c r="D7" s="682"/>
      <c r="E7" s="682"/>
      <c r="F7" s="682"/>
      <c r="G7" s="1052"/>
      <c r="H7" s="1052"/>
      <c r="I7" s="1052"/>
      <c r="J7" s="1052"/>
      <c r="K7" s="1488"/>
      <c r="L7" s="418" t="s">
        <v>246</v>
      </c>
      <c r="M7" s="1504" t="s">
        <v>3888</v>
      </c>
      <c r="N7" s="1052"/>
      <c r="O7" s="1052"/>
      <c r="P7" s="1488"/>
      <c r="Q7" s="418"/>
      <c r="R7" s="1487" t="s">
        <v>3889</v>
      </c>
      <c r="S7" s="1052"/>
      <c r="T7" s="1052"/>
      <c r="U7" s="1806" t="s">
        <v>3989</v>
      </c>
      <c r="V7" s="1806"/>
      <c r="W7" s="1806"/>
      <c r="X7" s="1806"/>
      <c r="Y7" s="1806"/>
      <c r="Z7" s="1806"/>
      <c r="AA7" s="1806"/>
      <c r="AB7" s="1806"/>
      <c r="AC7" s="1806"/>
      <c r="AD7" s="1806"/>
      <c r="AE7" s="1806"/>
      <c r="AF7" s="1806"/>
      <c r="AG7" s="1806"/>
      <c r="AH7" s="1806"/>
      <c r="AI7" s="1806"/>
      <c r="AJ7" s="1806"/>
      <c r="AK7" s="1806"/>
      <c r="AL7" s="1806"/>
      <c r="AM7" s="1807"/>
      <c r="AN7" s="418"/>
      <c r="AO7" s="613"/>
    </row>
    <row r="8" spans="1:83" ht="15" customHeight="1" thickBot="1">
      <c r="A8" s="1554" t="s">
        <v>3997</v>
      </c>
      <c r="B8" s="1052"/>
      <c r="C8" s="1052"/>
      <c r="D8" s="1052"/>
      <c r="E8" s="1052"/>
      <c r="F8" s="1052"/>
      <c r="G8" s="1052"/>
      <c r="H8" s="1052"/>
      <c r="I8" s="1052"/>
      <c r="J8" s="1052"/>
      <c r="K8" s="1052"/>
      <c r="L8" s="1052"/>
      <c r="M8" s="1052"/>
      <c r="N8" s="1052"/>
      <c r="O8" s="1052"/>
      <c r="P8" s="1052"/>
      <c r="Q8" s="1052"/>
      <c r="R8" s="1052"/>
      <c r="S8" s="1052"/>
      <c r="T8" s="1052"/>
      <c r="U8" s="1052"/>
      <c r="V8" s="1052"/>
      <c r="W8" s="1052"/>
      <c r="X8" s="1052"/>
      <c r="Y8" s="1052"/>
      <c r="Z8" s="1052"/>
      <c r="AA8" s="1052"/>
      <c r="AB8" s="1052"/>
      <c r="AC8" s="1052"/>
      <c r="AD8" s="1488"/>
      <c r="AE8" s="418" t="s">
        <v>246</v>
      </c>
      <c r="AF8" s="1711"/>
      <c r="AG8" s="1584"/>
      <c r="AH8" s="1584"/>
      <c r="AI8" s="1584"/>
      <c r="AJ8" s="1584"/>
      <c r="AK8" s="1584"/>
      <c r="AL8" s="1584"/>
      <c r="AM8" s="1584"/>
      <c r="AN8" s="1584"/>
      <c r="AO8" s="1658"/>
    </row>
    <row r="9" spans="1:83" ht="18.95" customHeight="1" thickBot="1">
      <c r="A9" s="1809" t="s">
        <v>3871</v>
      </c>
      <c r="B9" s="1052"/>
      <c r="C9" s="1433"/>
      <c r="D9" s="1810">
        <f>IF(('SP1'!P40+'SP1'!U40)=0,0,CEILING(IF(OR(EXACT(L7,"X"),EXACT(L7,"x")),MIN(186228,MAX(IF(OR(EXACT(AE8,"X"),EXACT(AE8,"x")),11640,16295),'SP1'!H38*0.55/('SP1'!P40+'SP1'!U40))),MIN(186228,MAX(5122,'SP1'!H38*0.55/('SP1'!P40+'SP1'!U40)))),1))</f>
        <v>11640</v>
      </c>
      <c r="E9" s="1811"/>
      <c r="F9" s="1811"/>
      <c r="G9" s="1811"/>
      <c r="H9" s="1811"/>
      <c r="I9" s="1811"/>
      <c r="J9" s="1812"/>
      <c r="K9" s="1813" t="s">
        <v>3873</v>
      </c>
      <c r="L9" s="734"/>
      <c r="M9" s="734"/>
      <c r="N9" s="734"/>
      <c r="O9" s="734"/>
      <c r="P9" s="734"/>
      <c r="Q9" s="734"/>
      <c r="R9" s="734"/>
      <c r="S9" s="1810">
        <f>+CEILING(D9*0.292,1)</f>
        <v>3399</v>
      </c>
      <c r="T9" s="1811"/>
      <c r="U9" s="1811"/>
      <c r="V9" s="1811"/>
      <c r="W9" s="1811"/>
      <c r="X9" s="1811"/>
      <c r="Y9" s="1812"/>
      <c r="Z9" s="1813" t="s">
        <v>3872</v>
      </c>
      <c r="AA9" s="734"/>
      <c r="AB9" s="734"/>
      <c r="AC9" s="734"/>
      <c r="AD9" s="734"/>
      <c r="AE9" s="734"/>
      <c r="AF9" s="734"/>
      <c r="AG9" s="734"/>
      <c r="AH9" s="1810">
        <f>+IF(S9=0,0,+CEILING(MAX(216,+'SP1'!H54/('SP1'!P42+'SP1'!U42)*0.027),1))</f>
        <v>357</v>
      </c>
      <c r="AI9" s="1811"/>
      <c r="AJ9" s="1811"/>
      <c r="AK9" s="1811"/>
      <c r="AL9" s="1811"/>
      <c r="AM9" s="1811"/>
      <c r="AN9" s="1812"/>
      <c r="AO9" s="605"/>
    </row>
    <row r="10" spans="1:83" ht="4.5" customHeight="1">
      <c r="A10" s="1526"/>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A10" s="1052"/>
      <c r="AB10" s="1052"/>
      <c r="AC10" s="1052"/>
      <c r="AD10" s="1052"/>
      <c r="AE10" s="1052"/>
      <c r="AF10" s="1052"/>
      <c r="AG10" s="1052"/>
      <c r="AH10" s="1052"/>
      <c r="AI10" s="1052"/>
      <c r="AJ10" s="1052"/>
      <c r="AK10" s="1052"/>
      <c r="AL10" s="1052"/>
      <c r="AM10" s="1052"/>
      <c r="AN10" s="1052"/>
      <c r="AO10" s="698"/>
    </row>
    <row r="11" spans="1:83">
      <c r="A11" s="1517" t="s">
        <v>3723</v>
      </c>
      <c r="B11" s="1606"/>
      <c r="C11" s="1606"/>
      <c r="D11" s="1606"/>
      <c r="E11" s="1606"/>
      <c r="F11" s="1606"/>
      <c r="G11" s="1606"/>
      <c r="H11" s="1606"/>
      <c r="I11" s="1606"/>
      <c r="J11" s="1606"/>
      <c r="K11" s="1606"/>
      <c r="L11" s="1606"/>
      <c r="M11" s="1606"/>
      <c r="N11" s="1606"/>
      <c r="O11" s="1606"/>
      <c r="P11" s="1606"/>
      <c r="Q11" s="1606"/>
      <c r="R11" s="1606"/>
      <c r="S11" s="1606"/>
      <c r="T11" s="1606"/>
      <c r="U11" s="1606"/>
      <c r="V11" s="1606"/>
      <c r="W11" s="1606"/>
      <c r="X11" s="1606"/>
      <c r="Y11" s="1606"/>
      <c r="Z11" s="1606"/>
      <c r="AA11" s="1606"/>
      <c r="AB11" s="1606"/>
      <c r="AC11" s="1606"/>
      <c r="AD11" s="1606"/>
      <c r="AE11" s="1606"/>
      <c r="AF11" s="1606"/>
      <c r="AG11" s="1606"/>
      <c r="AH11" s="1606"/>
      <c r="AI11" s="1606"/>
      <c r="AJ11" s="1606"/>
      <c r="AK11" s="1606"/>
      <c r="AL11" s="1606"/>
      <c r="AM11" s="1606"/>
      <c r="AN11" s="1606"/>
      <c r="AO11" s="1519"/>
    </row>
    <row r="12" spans="1:83" ht="5.0999999999999996" customHeight="1">
      <c r="A12" s="1702"/>
      <c r="B12" s="1703"/>
      <c r="C12" s="1703"/>
      <c r="D12" s="1703"/>
      <c r="E12" s="1703"/>
      <c r="F12" s="1703"/>
      <c r="G12" s="1703"/>
      <c r="H12" s="1703"/>
      <c r="I12" s="1703"/>
      <c r="J12" s="1703"/>
      <c r="K12" s="1703"/>
      <c r="L12" s="1703"/>
      <c r="M12" s="1703"/>
      <c r="N12" s="1703"/>
      <c r="O12" s="1703"/>
      <c r="P12" s="1703"/>
      <c r="Q12" s="1703"/>
      <c r="R12" s="1703"/>
      <c r="S12" s="1703"/>
      <c r="T12" s="1703"/>
      <c r="U12" s="1703"/>
      <c r="V12" s="1703"/>
      <c r="W12" s="1703"/>
      <c r="X12" s="1703"/>
      <c r="Y12" s="1703"/>
      <c r="Z12" s="1703"/>
      <c r="AA12" s="1703"/>
      <c r="AB12" s="1703"/>
      <c r="AC12" s="1703"/>
      <c r="AD12" s="1703"/>
      <c r="AE12" s="1703"/>
      <c r="AF12" s="1703"/>
      <c r="AG12" s="1703"/>
      <c r="AH12" s="1703"/>
      <c r="AI12" s="1703"/>
      <c r="AJ12" s="1703"/>
      <c r="AK12" s="1703"/>
      <c r="AL12" s="1703"/>
      <c r="AM12" s="1703"/>
      <c r="AN12" s="1703"/>
      <c r="AO12" s="1704"/>
    </row>
    <row r="13" spans="1:83" ht="18.95" customHeight="1">
      <c r="A13" s="1705" t="s">
        <v>314</v>
      </c>
      <c r="B13" s="1052"/>
      <c r="C13" s="1052"/>
      <c r="D13" s="1052"/>
      <c r="E13" s="1052"/>
      <c r="F13" s="1052"/>
      <c r="G13" s="1706">
        <f>+IF('SP1'!H66&lt;0,-'SP1'!H66,0)</f>
        <v>0</v>
      </c>
      <c r="H13" s="1644"/>
      <c r="I13" s="1644"/>
      <c r="J13" s="1644"/>
      <c r="K13" s="1644"/>
      <c r="L13" s="1644"/>
      <c r="M13" s="1644"/>
      <c r="N13" s="1644"/>
      <c r="O13" s="1707"/>
      <c r="P13" s="1705" t="s">
        <v>193</v>
      </c>
      <c r="Q13" s="1052"/>
      <c r="R13" s="1600" t="s">
        <v>3990</v>
      </c>
      <c r="S13" s="660"/>
      <c r="T13" s="660"/>
      <c r="U13" s="660"/>
      <c r="V13" s="660"/>
      <c r="W13" s="660"/>
      <c r="X13" s="660"/>
      <c r="Y13" s="660"/>
      <c r="Z13" s="660"/>
      <c r="AA13" s="660"/>
      <c r="AB13" s="660"/>
      <c r="AC13" s="660"/>
      <c r="AD13" s="660"/>
      <c r="AE13" s="660"/>
      <c r="AF13" s="660"/>
      <c r="AG13" s="660"/>
      <c r="AH13" s="660"/>
      <c r="AI13" s="660"/>
      <c r="AJ13" s="660"/>
      <c r="AK13" s="660"/>
      <c r="AL13" s="660"/>
      <c r="AM13" s="1708"/>
      <c r="AN13" s="621"/>
      <c r="AO13" s="622"/>
    </row>
    <row r="14" spans="1:83" ht="5.0999999999999996" customHeight="1">
      <c r="A14" s="1526"/>
      <c r="B14" s="1494"/>
      <c r="C14" s="1494"/>
      <c r="D14" s="1494"/>
      <c r="E14" s="1494"/>
      <c r="F14" s="1494"/>
      <c r="G14" s="1494"/>
      <c r="H14" s="1494"/>
      <c r="I14" s="1494"/>
      <c r="J14" s="1494"/>
      <c r="K14" s="1494"/>
      <c r="L14" s="1494"/>
      <c r="M14" s="1494"/>
      <c r="N14" s="1494"/>
      <c r="O14" s="1494"/>
      <c r="P14" s="1494"/>
      <c r="Q14" s="1494"/>
      <c r="R14" s="1494"/>
      <c r="S14" s="1494"/>
      <c r="T14" s="1494"/>
      <c r="U14" s="1494"/>
      <c r="V14" s="1494"/>
      <c r="W14" s="1494"/>
      <c r="X14" s="1494"/>
      <c r="Y14" s="1494"/>
      <c r="Z14" s="1494"/>
      <c r="AA14" s="1494"/>
      <c r="AB14" s="1494"/>
      <c r="AC14" s="1494"/>
      <c r="AD14" s="1494"/>
      <c r="AE14" s="1494"/>
      <c r="AF14" s="1494"/>
      <c r="AG14" s="1494"/>
      <c r="AH14" s="1494"/>
      <c r="AI14" s="1494"/>
      <c r="AJ14" s="1494"/>
      <c r="AK14" s="1494"/>
      <c r="AL14" s="1494"/>
      <c r="AM14" s="1494"/>
      <c r="AN14" s="1494"/>
      <c r="AO14" s="1710"/>
    </row>
    <row r="15" spans="1:83">
      <c r="A15" s="1696" t="s">
        <v>3728</v>
      </c>
      <c r="B15" s="1697"/>
      <c r="C15" s="1697"/>
      <c r="D15" s="1697"/>
      <c r="E15" s="1697"/>
      <c r="F15" s="1697"/>
      <c r="G15" s="1697"/>
      <c r="H15" s="1697"/>
      <c r="I15" s="1697"/>
      <c r="J15" s="1697"/>
      <c r="K15" s="1697"/>
      <c r="L15" s="1697"/>
      <c r="M15" s="1697"/>
      <c r="N15" s="1697"/>
      <c r="O15" s="1697"/>
      <c r="P15" s="1697"/>
      <c r="Q15" s="1697"/>
      <c r="R15" s="1697"/>
      <c r="S15" s="1697"/>
      <c r="T15" s="1697"/>
      <c r="U15" s="1697"/>
      <c r="V15" s="1697"/>
      <c r="W15" s="1697"/>
      <c r="X15" s="1697"/>
      <c r="Y15" s="1697"/>
      <c r="Z15" s="1697"/>
      <c r="AA15" s="1697"/>
      <c r="AB15" s="1697"/>
      <c r="AC15" s="1697"/>
      <c r="AD15" s="1697"/>
      <c r="AE15" s="1697"/>
      <c r="AF15" s="1697"/>
      <c r="AG15" s="1697"/>
      <c r="AH15" s="1697"/>
      <c r="AI15" s="1697"/>
      <c r="AJ15" s="1697"/>
      <c r="AK15" s="1697"/>
      <c r="AL15" s="1697"/>
      <c r="AM15" s="1697"/>
      <c r="AN15" s="1697"/>
      <c r="AO15" s="1698"/>
    </row>
    <row r="16" spans="1:83" ht="15" customHeight="1">
      <c r="A16" s="291" t="s">
        <v>222</v>
      </c>
      <c r="B16" s="268"/>
      <c r="C16" s="287" t="s">
        <v>3922</v>
      </c>
      <c r="D16" s="1709"/>
      <c r="E16" s="1709"/>
      <c r="F16" s="1709"/>
      <c r="G16" s="1709"/>
      <c r="H16" s="1709"/>
      <c r="I16" s="1709"/>
      <c r="J16" s="1709"/>
      <c r="K16" s="1709"/>
      <c r="L16" s="1709"/>
      <c r="M16" s="1709"/>
      <c r="N16" s="1709"/>
      <c r="O16" s="1709"/>
      <c r="P16" s="1709"/>
      <c r="Q16" s="1709"/>
      <c r="R16" s="1709"/>
      <c r="S16" s="1709"/>
      <c r="T16" s="1709"/>
      <c r="U16" s="1709"/>
      <c r="V16" s="1709"/>
      <c r="W16" s="1709"/>
      <c r="X16" s="1709"/>
      <c r="Y16" s="1709"/>
      <c r="Z16" s="1709"/>
      <c r="AA16" s="1709"/>
      <c r="AB16" s="1052"/>
      <c r="AC16" s="1052"/>
      <c r="AD16" s="1052"/>
      <c r="AE16" s="1052"/>
      <c r="AF16" s="1052"/>
      <c r="AG16" s="1052"/>
      <c r="AH16" s="1052"/>
      <c r="AI16" s="1052"/>
      <c r="AJ16" s="1052"/>
      <c r="AK16" s="1052"/>
      <c r="AL16" s="1052"/>
      <c r="AM16" s="1052"/>
      <c r="AN16" s="1052"/>
      <c r="AO16" s="1488"/>
    </row>
    <row r="17" spans="1:87" s="124" customFormat="1" ht="9.9499999999999993" customHeight="1">
      <c r="A17" s="1504" t="s">
        <v>3724</v>
      </c>
      <c r="B17" s="1052"/>
      <c r="C17" s="1052"/>
      <c r="D17" s="1052"/>
      <c r="E17" s="1052"/>
      <c r="F17" s="1052"/>
      <c r="G17" s="1052"/>
      <c r="H17" s="1693" t="s">
        <v>255</v>
      </c>
      <c r="I17" s="1052"/>
      <c r="J17" s="1052"/>
      <c r="K17" s="1052"/>
      <c r="L17" s="1052"/>
      <c r="M17" s="1693" t="s">
        <v>256</v>
      </c>
      <c r="N17" s="1693"/>
      <c r="O17" s="1693"/>
      <c r="P17" s="1693"/>
      <c r="Q17" s="1693"/>
      <c r="R17" s="1693"/>
      <c r="S17" s="1693"/>
      <c r="T17" s="1693"/>
      <c r="U17" s="1693"/>
      <c r="V17" s="294"/>
      <c r="W17" s="1693" t="s">
        <v>218</v>
      </c>
      <c r="X17" s="1693"/>
      <c r="Y17" s="1693"/>
      <c r="Z17" s="1693"/>
      <c r="AA17" s="294"/>
      <c r="AB17" s="294"/>
      <c r="AC17" s="1693" t="s">
        <v>290</v>
      </c>
      <c r="AD17" s="1721"/>
      <c r="AE17" s="1721"/>
      <c r="AF17" s="1721"/>
      <c r="AG17" s="1721"/>
      <c r="AH17" s="1721"/>
      <c r="AI17" s="294"/>
      <c r="AJ17" s="1693" t="s">
        <v>258</v>
      </c>
      <c r="AK17" s="1693"/>
      <c r="AL17" s="1693"/>
      <c r="AM17" s="1693"/>
      <c r="AN17" s="1721"/>
      <c r="AO17" s="1764"/>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row>
    <row r="18" spans="1:87" ht="15" customHeight="1">
      <c r="A18" s="1728"/>
      <c r="B18" s="1538"/>
      <c r="C18" s="1538"/>
      <c r="D18" s="1538"/>
      <c r="E18" s="1538"/>
      <c r="F18" s="1539"/>
      <c r="G18" s="484"/>
      <c r="H18" s="1725" t="str">
        <f>+IF(ISERR(MID(ZAKL_DATA!B32,1,+FIND("-",ZAKL_DATA!B32)-1))," ",MID(ZAKL_DATA!B32,1,+FIND("-",ZAKL_DATA!B32)-1))</f>
        <v xml:space="preserve"> </v>
      </c>
      <c r="I18" s="1726"/>
      <c r="J18" s="1726"/>
      <c r="K18" s="1727"/>
      <c r="L18" s="267" t="s">
        <v>160</v>
      </c>
      <c r="M18" s="1682">
        <f>IF(ISERR(+MID(ZAKL_DATA!B32,+FIND("-",ZAKL_DATA!B32)+1,20)),ZAKL_DATA!B32,+MID(ZAKL_DATA!B32,+FIND("-",ZAKL_DATA!B32)+1,20))</f>
        <v>0</v>
      </c>
      <c r="N18" s="1773"/>
      <c r="O18" s="1773"/>
      <c r="P18" s="1773"/>
      <c r="Q18" s="1773"/>
      <c r="R18" s="1773"/>
      <c r="S18" s="1773"/>
      <c r="T18" s="1773"/>
      <c r="U18" s="1683"/>
      <c r="V18" s="293" t="s">
        <v>257</v>
      </c>
      <c r="W18" s="1699">
        <f>+ZAKL_DATA!B33</f>
        <v>0</v>
      </c>
      <c r="X18" s="1700"/>
      <c r="Y18" s="1700"/>
      <c r="Z18" s="1701"/>
      <c r="AA18" s="1619"/>
      <c r="AB18" s="1619"/>
      <c r="AC18" s="1768" t="str">
        <f>+N3</f>
        <v/>
      </c>
      <c r="AD18" s="1700"/>
      <c r="AE18" s="1700"/>
      <c r="AF18" s="1700"/>
      <c r="AG18" s="1700"/>
      <c r="AH18" s="1701"/>
      <c r="AI18" s="288"/>
      <c r="AJ18" s="1699"/>
      <c r="AK18" s="1765"/>
      <c r="AL18" s="1765"/>
      <c r="AM18" s="1765"/>
      <c r="AN18" s="1766"/>
      <c r="AO18" s="1767"/>
    </row>
    <row r="19" spans="1:87" ht="4.5" customHeight="1">
      <c r="A19" s="1618"/>
      <c r="B19" s="1619"/>
      <c r="C19" s="1619"/>
      <c r="D19" s="1619"/>
      <c r="E19" s="1619"/>
      <c r="F19" s="1619"/>
      <c r="G19" s="1619"/>
      <c r="H19" s="1619"/>
      <c r="I19" s="1619"/>
      <c r="J19" s="1619"/>
      <c r="K19" s="1619"/>
      <c r="L19" s="1619"/>
      <c r="M19" s="1619"/>
      <c r="N19" s="1619"/>
      <c r="O19" s="1619"/>
      <c r="P19" s="1619"/>
      <c r="Q19" s="1619"/>
      <c r="R19" s="1619"/>
      <c r="S19" s="1619"/>
      <c r="T19" s="1619"/>
      <c r="U19" s="1619"/>
      <c r="V19" s="1619"/>
      <c r="W19" s="1619"/>
      <c r="X19" s="1619"/>
      <c r="Y19" s="1619"/>
      <c r="Z19" s="1619"/>
      <c r="AA19" s="1619"/>
      <c r="AB19" s="1619"/>
      <c r="AC19" s="1619"/>
      <c r="AD19" s="1619"/>
      <c r="AE19" s="1619"/>
      <c r="AF19" s="1619"/>
      <c r="AG19" s="1619"/>
      <c r="AH19" s="1619"/>
      <c r="AI19" s="1619"/>
      <c r="AJ19" s="1619"/>
      <c r="AK19" s="1619"/>
      <c r="AL19" s="1619"/>
      <c r="AM19" s="1619"/>
      <c r="AN19" s="1619"/>
      <c r="AO19" s="1620"/>
    </row>
    <row r="20" spans="1:87" ht="15" customHeight="1">
      <c r="A20" s="291" t="s">
        <v>223</v>
      </c>
      <c r="B20" s="268"/>
      <c r="C20" s="1714" t="s">
        <v>3923</v>
      </c>
      <c r="D20" s="682"/>
      <c r="E20" s="682"/>
      <c r="F20" s="682"/>
      <c r="G20" s="682"/>
      <c r="H20" s="682"/>
      <c r="I20" s="682"/>
      <c r="J20" s="682"/>
      <c r="K20" s="682"/>
      <c r="L20" s="682"/>
      <c r="M20" s="682"/>
      <c r="N20" s="682"/>
      <c r="O20" s="682"/>
      <c r="P20" s="682"/>
      <c r="Q20" s="682"/>
      <c r="R20" s="682"/>
      <c r="S20" s="682"/>
      <c r="T20" s="682"/>
      <c r="U20" s="682"/>
      <c r="V20" s="682"/>
      <c r="W20" s="682"/>
      <c r="X20" s="682"/>
      <c r="Y20" s="682"/>
      <c r="Z20" s="682"/>
      <c r="AA20" s="682"/>
      <c r="AB20" s="682"/>
      <c r="AC20" s="682"/>
      <c r="AD20" s="682"/>
      <c r="AE20" s="682"/>
      <c r="AF20" s="682"/>
      <c r="AG20" s="682"/>
      <c r="AH20" s="682"/>
      <c r="AI20" s="682"/>
      <c r="AJ20" s="682"/>
      <c r="AK20" s="682"/>
      <c r="AL20" s="682"/>
      <c r="AM20" s="682"/>
      <c r="AN20" s="682"/>
      <c r="AO20" s="1715"/>
    </row>
    <row r="21" spans="1:87" ht="12" customHeight="1">
      <c r="A21" s="1749" t="s">
        <v>259</v>
      </c>
      <c r="B21" s="1503"/>
      <c r="C21" s="1503"/>
      <c r="D21" s="1503"/>
      <c r="E21" s="1052"/>
      <c r="F21" s="1493" t="s">
        <v>42</v>
      </c>
      <c r="G21" s="1052"/>
      <c r="H21" s="1052"/>
      <c r="I21" s="1052"/>
      <c r="J21" s="1052"/>
      <c r="K21" s="1493" t="s">
        <v>260</v>
      </c>
      <c r="L21" s="1693"/>
      <c r="M21" s="1693"/>
      <c r="N21" s="1693"/>
      <c r="O21" s="1693"/>
      <c r="P21" s="1693"/>
      <c r="Q21" s="1693"/>
      <c r="R21" s="1693"/>
      <c r="S21" s="1693"/>
      <c r="T21" s="1052"/>
      <c r="U21" s="1052"/>
      <c r="V21" s="1052"/>
      <c r="W21" s="1052"/>
      <c r="X21" s="1052"/>
      <c r="Y21" s="1052"/>
      <c r="Z21" s="1052"/>
      <c r="AA21" s="1052"/>
      <c r="AB21" s="1052"/>
      <c r="AC21" s="1493" t="s">
        <v>43</v>
      </c>
      <c r="AD21" s="1052"/>
      <c r="AE21" s="1052"/>
      <c r="AF21" s="1052"/>
      <c r="AG21" s="1052"/>
      <c r="AH21" s="1588" t="s">
        <v>261</v>
      </c>
      <c r="AI21" s="1588"/>
      <c r="AJ21" s="1588"/>
      <c r="AK21" s="1588"/>
      <c r="AL21" s="1588"/>
      <c r="AM21" s="1588"/>
      <c r="AN21" s="1588"/>
      <c r="AO21" s="1589"/>
    </row>
    <row r="22" spans="1:87" ht="15" customHeight="1">
      <c r="A22" s="1746"/>
      <c r="B22" s="1747"/>
      <c r="C22" s="1747"/>
      <c r="D22" s="1748"/>
      <c r="E22" s="1052"/>
      <c r="F22" s="1771"/>
      <c r="G22" s="1726"/>
      <c r="H22" s="1726"/>
      <c r="I22" s="1727"/>
      <c r="J22" s="267"/>
      <c r="K22" s="1769"/>
      <c r="L22" s="1770"/>
      <c r="M22" s="1770"/>
      <c r="N22" s="1770"/>
      <c r="O22" s="1770"/>
      <c r="P22" s="1770"/>
      <c r="Q22" s="1770"/>
      <c r="R22" s="1770"/>
      <c r="S22" s="1770"/>
      <c r="T22" s="1538"/>
      <c r="U22" s="1538"/>
      <c r="V22" s="1538"/>
      <c r="W22" s="1538"/>
      <c r="X22" s="1538"/>
      <c r="Y22" s="1538"/>
      <c r="Z22" s="1538"/>
      <c r="AA22" s="1539"/>
      <c r="AB22" s="1052"/>
      <c r="AC22" s="1725"/>
      <c r="AD22" s="1726"/>
      <c r="AE22" s="1726"/>
      <c r="AF22" s="1727"/>
      <c r="AG22" s="267"/>
      <c r="AH22" s="1772"/>
      <c r="AI22" s="1511"/>
      <c r="AJ22" s="1511"/>
      <c r="AK22" s="1511"/>
      <c r="AL22" s="1511"/>
      <c r="AM22" s="1511"/>
      <c r="AN22" s="1511"/>
      <c r="AO22" s="1512"/>
    </row>
    <row r="23" spans="1:87" ht="4.5" customHeight="1">
      <c r="A23" s="1712"/>
      <c r="B23" s="1502"/>
      <c r="C23" s="1502"/>
      <c r="D23" s="1502"/>
      <c r="E23" s="1502"/>
      <c r="F23" s="1502"/>
      <c r="G23" s="1502"/>
      <c r="H23" s="1502"/>
      <c r="I23" s="1502"/>
      <c r="J23" s="1502"/>
      <c r="K23" s="1502"/>
      <c r="L23" s="1502"/>
      <c r="M23" s="1502"/>
      <c r="N23" s="1502"/>
      <c r="O23" s="1502"/>
      <c r="P23" s="1502"/>
      <c r="Q23" s="1502"/>
      <c r="R23" s="1502"/>
      <c r="S23" s="1502"/>
      <c r="T23" s="1502"/>
      <c r="U23" s="1502"/>
      <c r="V23" s="1502"/>
      <c r="W23" s="1502"/>
      <c r="X23" s="1502"/>
      <c r="Y23" s="1502"/>
      <c r="Z23" s="1502"/>
      <c r="AA23" s="1502"/>
      <c r="AB23" s="1502"/>
      <c r="AC23" s="1502"/>
      <c r="AD23" s="1502"/>
      <c r="AE23" s="1502"/>
      <c r="AF23" s="1502"/>
      <c r="AG23" s="1502"/>
      <c r="AH23" s="1502"/>
      <c r="AI23" s="1502"/>
      <c r="AJ23" s="1502"/>
      <c r="AK23" s="1502"/>
      <c r="AL23" s="1502"/>
      <c r="AM23" s="1502"/>
      <c r="AN23" s="1502"/>
      <c r="AO23" s="1713"/>
    </row>
    <row r="24" spans="1:87" ht="15" customHeight="1">
      <c r="A24" s="1755" t="s">
        <v>3890</v>
      </c>
      <c r="B24" s="1568"/>
      <c r="C24" s="1568"/>
      <c r="D24" s="1568"/>
      <c r="E24" s="1568"/>
      <c r="F24" s="1568"/>
      <c r="G24" s="1568"/>
      <c r="H24" s="1568"/>
      <c r="I24" s="1568"/>
      <c r="J24" s="1568"/>
      <c r="K24" s="1568"/>
      <c r="L24" s="1568"/>
      <c r="M24" s="1568"/>
      <c r="N24" s="1568"/>
      <c r="O24" s="1568"/>
      <c r="P24" s="1568"/>
      <c r="Q24" s="1568"/>
      <c r="R24" s="1568"/>
      <c r="S24" s="1568"/>
      <c r="T24" s="1568"/>
      <c r="U24" s="1568"/>
      <c r="V24" s="1568"/>
      <c r="W24" s="1568"/>
      <c r="X24" s="1568"/>
      <c r="Y24" s="1568"/>
      <c r="Z24" s="1568"/>
      <c r="AA24" s="1568"/>
      <c r="AB24" s="1568"/>
      <c r="AC24" s="1568"/>
      <c r="AD24" s="1568"/>
      <c r="AE24" s="1568"/>
      <c r="AF24" s="1568"/>
      <c r="AG24" s="1511"/>
      <c r="AH24" s="1511"/>
      <c r="AI24" s="1511"/>
      <c r="AJ24" s="1511"/>
      <c r="AK24" s="1511"/>
      <c r="AL24" s="1511"/>
      <c r="AM24" s="1511"/>
      <c r="AN24" s="1511"/>
      <c r="AO24" s="1512"/>
    </row>
    <row r="25" spans="1:87" ht="8.1" customHeight="1">
      <c r="A25" s="1743"/>
      <c r="B25" s="1744"/>
      <c r="C25" s="1744"/>
      <c r="D25" s="1744"/>
      <c r="E25" s="1744"/>
      <c r="F25" s="1744"/>
      <c r="G25" s="1744"/>
      <c r="H25" s="1744"/>
      <c r="I25" s="1744"/>
      <c r="J25" s="1744"/>
      <c r="K25" s="1744"/>
      <c r="L25" s="1744"/>
      <c r="M25" s="1744"/>
      <c r="N25" s="1744"/>
      <c r="O25" s="1744"/>
      <c r="P25" s="1744"/>
      <c r="Q25" s="1744"/>
      <c r="R25" s="1744"/>
      <c r="S25" s="1744"/>
      <c r="T25" s="1744"/>
      <c r="U25" s="1744"/>
      <c r="V25" s="1744"/>
      <c r="W25" s="1744"/>
      <c r="X25" s="1744"/>
      <c r="Y25" s="1744"/>
      <c r="Z25" s="1744"/>
      <c r="AA25" s="1744"/>
      <c r="AB25" s="1744"/>
      <c r="AC25" s="1744"/>
      <c r="AD25" s="1744"/>
      <c r="AE25" s="1744"/>
      <c r="AF25" s="1744"/>
      <c r="AG25" s="1744"/>
      <c r="AH25" s="1744"/>
      <c r="AI25" s="1744"/>
      <c r="AJ25" s="1744"/>
      <c r="AK25" s="1744"/>
      <c r="AL25" s="1744"/>
      <c r="AM25" s="1744"/>
      <c r="AN25" s="1744"/>
      <c r="AO25" s="1745"/>
      <c r="CD25" s="21"/>
      <c r="CE25" s="21"/>
      <c r="CF25" s="21"/>
      <c r="CG25" s="21"/>
      <c r="CH25" s="21"/>
      <c r="CI25" s="21"/>
    </row>
    <row r="26" spans="1:87" ht="21.95" customHeight="1">
      <c r="A26" s="1594" t="s">
        <v>3995</v>
      </c>
      <c r="B26" s="1161"/>
      <c r="C26" s="1161"/>
      <c r="D26" s="1161"/>
      <c r="E26" s="1161"/>
      <c r="F26" s="1161"/>
      <c r="G26" s="1161"/>
      <c r="H26" s="1161"/>
      <c r="I26" s="1161"/>
      <c r="J26" s="1161"/>
      <c r="K26" s="1161"/>
      <c r="L26" s="1161"/>
      <c r="M26" s="1161"/>
      <c r="N26" s="1161"/>
      <c r="O26" s="1161"/>
      <c r="P26" s="1161"/>
      <c r="Q26" s="1679" t="s">
        <v>222</v>
      </c>
      <c r="R26" s="1680"/>
      <c r="S26" s="268"/>
      <c r="T26" s="1679" t="s">
        <v>223</v>
      </c>
      <c r="U26" s="1680"/>
      <c r="V26" s="268"/>
      <c r="W26" s="1679" t="s">
        <v>209</v>
      </c>
      <c r="X26" s="1680"/>
      <c r="Y26" s="268"/>
      <c r="Z26" s="1679" t="s">
        <v>210</v>
      </c>
      <c r="AA26" s="1680"/>
      <c r="AB26" s="268"/>
      <c r="AC26" s="1679" t="s">
        <v>211</v>
      </c>
      <c r="AD26" s="1680"/>
      <c r="AE26" s="268"/>
      <c r="AF26" s="1679" t="s">
        <v>212</v>
      </c>
      <c r="AG26" s="1680"/>
      <c r="AH26" s="268"/>
      <c r="AI26" s="1679" t="s">
        <v>3892</v>
      </c>
      <c r="AJ26" s="1680"/>
      <c r="AK26" s="268"/>
      <c r="AL26" s="1679" t="s">
        <v>3893</v>
      </c>
      <c r="AM26" s="1680"/>
      <c r="AN26" s="268"/>
      <c r="AO26" s="485"/>
      <c r="CD26" s="21"/>
      <c r="CE26" s="21"/>
      <c r="CF26" s="21"/>
      <c r="CG26" s="21"/>
      <c r="CH26" s="21"/>
      <c r="CI26" s="21"/>
    </row>
    <row r="27" spans="1:87" ht="8.1" customHeight="1">
      <c r="A27" s="1490"/>
      <c r="B27" s="1494"/>
      <c r="C27" s="1494"/>
      <c r="D27" s="1494"/>
      <c r="E27" s="1494"/>
      <c r="F27" s="1494"/>
      <c r="G27" s="1494"/>
      <c r="H27" s="1494"/>
      <c r="I27" s="1494"/>
      <c r="J27" s="1494"/>
      <c r="K27" s="1494"/>
      <c r="L27" s="1494"/>
      <c r="M27" s="1494"/>
      <c r="N27" s="1494"/>
      <c r="O27" s="1494"/>
      <c r="P27" s="1494"/>
      <c r="Q27" s="1494"/>
      <c r="R27" s="1494"/>
      <c r="S27" s="1494"/>
      <c r="T27" s="1494"/>
      <c r="U27" s="1494"/>
      <c r="V27" s="1494"/>
      <c r="W27" s="1494"/>
      <c r="X27" s="1494"/>
      <c r="Y27" s="1494"/>
      <c r="Z27" s="1494"/>
      <c r="AA27" s="1494"/>
      <c r="AB27" s="1494"/>
      <c r="AC27" s="1494"/>
      <c r="AD27" s="1494"/>
      <c r="AE27" s="1494"/>
      <c r="AF27" s="1494"/>
      <c r="AG27" s="1494"/>
      <c r="AH27" s="1494"/>
      <c r="AI27" s="1494"/>
      <c r="AJ27" s="1494"/>
      <c r="AK27" s="1494"/>
      <c r="AL27" s="1494"/>
      <c r="AM27" s="1494"/>
      <c r="AN27" s="1494"/>
      <c r="AO27" s="1557"/>
      <c r="CD27" s="21"/>
      <c r="CE27" s="21"/>
      <c r="CF27" s="21"/>
      <c r="CG27" s="21"/>
      <c r="CH27" s="21"/>
      <c r="CI27" s="21"/>
    </row>
    <row r="28" spans="1:87" ht="21.95" customHeight="1">
      <c r="A28" s="1504" t="s">
        <v>3891</v>
      </c>
      <c r="B28" s="1052"/>
      <c r="C28" s="1052"/>
      <c r="D28" s="1052"/>
      <c r="E28" s="1052"/>
      <c r="F28" s="1052"/>
      <c r="G28" s="1052"/>
      <c r="H28" s="1052"/>
      <c r="I28" s="1679" t="s">
        <v>224</v>
      </c>
      <c r="J28" s="1680"/>
      <c r="K28" s="268" t="s">
        <v>246</v>
      </c>
      <c r="L28" s="1679" t="s">
        <v>134</v>
      </c>
      <c r="M28" s="1680"/>
      <c r="N28" s="268"/>
      <c r="O28" s="414"/>
      <c r="P28" s="1493" t="s">
        <v>3991</v>
      </c>
      <c r="Q28" s="1052"/>
      <c r="R28" s="1052"/>
      <c r="S28" s="1052"/>
      <c r="T28" s="1052"/>
      <c r="U28" s="1052"/>
      <c r="V28" s="1052"/>
      <c r="W28" s="1052"/>
      <c r="X28" s="1052"/>
      <c r="Y28" s="1052"/>
      <c r="Z28" s="1052"/>
      <c r="AA28" s="1052"/>
      <c r="AB28" s="1052"/>
      <c r="AC28" s="1052"/>
      <c r="AD28" s="1052"/>
      <c r="AE28" s="1052"/>
      <c r="AF28" s="1052"/>
      <c r="AG28" s="1052"/>
      <c r="AH28" s="1052"/>
      <c r="AI28" s="1679" t="s">
        <v>224</v>
      </c>
      <c r="AJ28" s="1680"/>
      <c r="AK28" s="268"/>
      <c r="AL28" s="1679" t="s">
        <v>134</v>
      </c>
      <c r="AM28" s="1680"/>
      <c r="AN28" s="268" t="s">
        <v>246</v>
      </c>
      <c r="AO28" s="558"/>
      <c r="CD28" s="21"/>
      <c r="CE28" s="21"/>
      <c r="CF28" s="21"/>
      <c r="CG28" s="21"/>
      <c r="CH28" s="21"/>
      <c r="CI28" s="21"/>
    </row>
    <row r="29" spans="1:87" ht="8.1" customHeight="1">
      <c r="A29" s="1490"/>
      <c r="B29" s="1494"/>
      <c r="C29" s="1494"/>
      <c r="D29" s="1494"/>
      <c r="E29" s="1494"/>
      <c r="F29" s="1494"/>
      <c r="G29" s="1494"/>
      <c r="H29" s="1494"/>
      <c r="I29" s="1494"/>
      <c r="J29" s="1494"/>
      <c r="K29" s="1494"/>
      <c r="L29" s="1494"/>
      <c r="M29" s="1494"/>
      <c r="N29" s="1494"/>
      <c r="O29" s="1494"/>
      <c r="P29" s="1494"/>
      <c r="Q29" s="1494"/>
      <c r="R29" s="1494"/>
      <c r="S29" s="1494"/>
      <c r="T29" s="1494"/>
      <c r="U29" s="1494"/>
      <c r="V29" s="1494"/>
      <c r="W29" s="1494"/>
      <c r="X29" s="1494"/>
      <c r="Y29" s="1494"/>
      <c r="Z29" s="1494"/>
      <c r="AA29" s="1494"/>
      <c r="AB29" s="1494"/>
      <c r="AC29" s="1494"/>
      <c r="AD29" s="1494"/>
      <c r="AE29" s="1494"/>
      <c r="AF29" s="1494"/>
      <c r="AG29" s="1494"/>
      <c r="AH29" s="1494"/>
      <c r="AI29" s="1494"/>
      <c r="AJ29" s="1494"/>
      <c r="AK29" s="1494"/>
      <c r="AL29" s="1494"/>
      <c r="AM29" s="1494"/>
      <c r="AN29" s="1494"/>
      <c r="AO29" s="1557"/>
      <c r="CD29" s="21"/>
      <c r="CE29" s="21"/>
      <c r="CF29" s="21"/>
      <c r="CG29" s="21"/>
      <c r="CH29" s="21"/>
      <c r="CI29" s="21"/>
    </row>
    <row r="30" spans="1:87" ht="21.95" customHeight="1">
      <c r="A30" s="1714" t="s">
        <v>3992</v>
      </c>
      <c r="B30" s="682"/>
      <c r="C30" s="682"/>
      <c r="D30" s="682"/>
      <c r="E30" s="682"/>
      <c r="F30" s="682"/>
      <c r="G30" s="682"/>
      <c r="H30" s="682"/>
      <c r="I30" s="1679" t="s">
        <v>224</v>
      </c>
      <c r="J30" s="1680"/>
      <c r="K30" s="268"/>
      <c r="L30" s="1679" t="s">
        <v>134</v>
      </c>
      <c r="M30" s="1680"/>
      <c r="N30" s="268" t="s">
        <v>246</v>
      </c>
      <c r="O30" s="414"/>
      <c r="P30" s="1595" t="s">
        <v>3924</v>
      </c>
      <c r="Q30" s="682"/>
      <c r="R30" s="682"/>
      <c r="S30" s="682"/>
      <c r="T30" s="682"/>
      <c r="U30" s="682"/>
      <c r="V30" s="682"/>
      <c r="W30" s="682"/>
      <c r="X30" s="682"/>
      <c r="Y30" s="682"/>
      <c r="Z30" s="682"/>
      <c r="AA30" s="682"/>
      <c r="AB30" s="682"/>
      <c r="AC30" s="682"/>
      <c r="AD30" s="682"/>
      <c r="AE30" s="682"/>
      <c r="AF30" s="682"/>
      <c r="AG30" s="1776"/>
      <c r="AH30" s="1777"/>
      <c r="AI30" s="1778"/>
      <c r="AJ30" s="1778"/>
      <c r="AK30" s="1778"/>
      <c r="AL30" s="1778"/>
      <c r="AM30" s="1778"/>
      <c r="AN30" s="1779"/>
      <c r="AO30" s="558"/>
      <c r="CD30" s="21"/>
      <c r="CE30" s="21"/>
      <c r="CF30" s="21"/>
      <c r="CG30" s="21"/>
      <c r="CH30" s="21"/>
      <c r="CI30" s="21"/>
    </row>
    <row r="31" spans="1:87" ht="8.1" customHeight="1">
      <c r="A31" s="1780"/>
      <c r="B31" s="1502"/>
      <c r="C31" s="1502"/>
      <c r="D31" s="1502"/>
      <c r="E31" s="1502"/>
      <c r="F31" s="1502"/>
      <c r="G31" s="1502"/>
      <c r="H31" s="1502"/>
      <c r="I31" s="1502"/>
      <c r="J31" s="1502"/>
      <c r="K31" s="1502"/>
      <c r="L31" s="1502"/>
      <c r="M31" s="1502"/>
      <c r="N31" s="1502"/>
      <c r="O31" s="1502"/>
      <c r="P31" s="1502"/>
      <c r="Q31" s="1502"/>
      <c r="R31" s="1502"/>
      <c r="S31" s="1502"/>
      <c r="T31" s="1502"/>
      <c r="U31" s="1502"/>
      <c r="V31" s="1502"/>
      <c r="W31" s="1502"/>
      <c r="X31" s="1502"/>
      <c r="Y31" s="1502"/>
      <c r="Z31" s="1502"/>
      <c r="AA31" s="1502"/>
      <c r="AB31" s="1502"/>
      <c r="AC31" s="1502"/>
      <c r="AD31" s="1502"/>
      <c r="AE31" s="1502"/>
      <c r="AF31" s="1502"/>
      <c r="AG31" s="1502"/>
      <c r="AH31" s="1502"/>
      <c r="AI31" s="1502"/>
      <c r="AJ31" s="1502"/>
      <c r="AK31" s="1502"/>
      <c r="AL31" s="1502"/>
      <c r="AM31" s="1502"/>
      <c r="AN31" s="1502"/>
      <c r="AO31" s="1781"/>
      <c r="CD31" s="21"/>
      <c r="CE31" s="21"/>
      <c r="CF31" s="21"/>
      <c r="CG31" s="21"/>
      <c r="CH31" s="21"/>
      <c r="CI31" s="21"/>
    </row>
    <row r="32" spans="1:87" ht="15" customHeight="1">
      <c r="A32" s="1517" t="s">
        <v>3759</v>
      </c>
      <c r="B32" s="1606"/>
      <c r="C32" s="1606"/>
      <c r="D32" s="1606"/>
      <c r="E32" s="1606"/>
      <c r="F32" s="1606"/>
      <c r="G32" s="1606"/>
      <c r="H32" s="1606"/>
      <c r="I32" s="1606"/>
      <c r="J32" s="1606"/>
      <c r="K32" s="1606"/>
      <c r="L32" s="1606"/>
      <c r="M32" s="1606"/>
      <c r="N32" s="1606"/>
      <c r="O32" s="1606"/>
      <c r="P32" s="1606"/>
      <c r="Q32" s="1606"/>
      <c r="R32" s="1606"/>
      <c r="S32" s="1606"/>
      <c r="T32" s="1606"/>
      <c r="U32" s="1606"/>
      <c r="V32" s="1606"/>
      <c r="W32" s="1606"/>
      <c r="X32" s="1606"/>
      <c r="Y32" s="1606"/>
      <c r="Z32" s="1606"/>
      <c r="AA32" s="1606"/>
      <c r="AB32" s="1606"/>
      <c r="AC32" s="1606"/>
      <c r="AD32" s="1606"/>
      <c r="AE32" s="1606"/>
      <c r="AF32" s="1606"/>
      <c r="AG32" s="1606"/>
      <c r="AH32" s="1606"/>
      <c r="AI32" s="1606"/>
      <c r="AJ32" s="1606"/>
      <c r="AK32" s="1606"/>
      <c r="AL32" s="1606"/>
      <c r="AM32" s="1606"/>
      <c r="AN32" s="1606"/>
      <c r="AO32" s="1519"/>
    </row>
    <row r="33" spans="1:41" ht="12" customHeight="1">
      <c r="A33" s="1782" t="s">
        <v>237</v>
      </c>
      <c r="B33" s="1783"/>
      <c r="C33" s="1783"/>
      <c r="D33" s="1783"/>
      <c r="E33" s="1783"/>
      <c r="F33" s="1783"/>
      <c r="G33" s="1783"/>
      <c r="H33" s="1783"/>
      <c r="I33" s="1783"/>
      <c r="J33" s="1783"/>
      <c r="K33" s="1783"/>
      <c r="L33" s="1784" t="s">
        <v>315</v>
      </c>
      <c r="M33" s="1785"/>
      <c r="N33" s="1785"/>
      <c r="O33" s="1785"/>
      <c r="P33" s="1785"/>
      <c r="Q33" s="1785"/>
      <c r="R33" s="1785"/>
      <c r="S33" s="1785"/>
      <c r="T33" s="1785"/>
      <c r="U33" s="1785"/>
      <c r="V33" s="1785"/>
      <c r="W33" s="1785"/>
      <c r="X33" s="1785"/>
      <c r="Y33" s="1785"/>
      <c r="Z33" s="1785"/>
      <c r="AA33" s="1785"/>
      <c r="AB33" s="1785"/>
      <c r="AC33" s="1785"/>
      <c r="AD33" s="1785"/>
      <c r="AE33" s="1785"/>
      <c r="AF33" s="1785"/>
      <c r="AG33" s="1785"/>
      <c r="AH33" s="1785"/>
      <c r="AI33" s="1785"/>
      <c r="AJ33" s="1785"/>
      <c r="AK33" s="1785"/>
      <c r="AL33" s="1785"/>
      <c r="AM33" s="1785"/>
      <c r="AN33" s="1785"/>
      <c r="AO33" s="1786"/>
    </row>
    <row r="34" spans="1:41" ht="15" customHeight="1">
      <c r="A34" s="1774"/>
      <c r="B34" s="1726"/>
      <c r="C34" s="1726"/>
      <c r="D34" s="1726"/>
      <c r="E34" s="1727"/>
      <c r="F34" s="502"/>
      <c r="G34" s="1052"/>
      <c r="H34" s="1052"/>
      <c r="I34" s="1052"/>
      <c r="J34" s="1052"/>
      <c r="K34" s="1052"/>
      <c r="L34" s="1775"/>
      <c r="M34" s="1538"/>
      <c r="N34" s="1538"/>
      <c r="O34" s="1538"/>
      <c r="P34" s="1538"/>
      <c r="Q34" s="1538"/>
      <c r="R34" s="1538"/>
      <c r="S34" s="1538"/>
      <c r="T34" s="1538"/>
      <c r="U34" s="1538"/>
      <c r="V34" s="1538"/>
      <c r="W34" s="1538"/>
      <c r="X34" s="1538"/>
      <c r="Y34" s="1538"/>
      <c r="Z34" s="1538"/>
      <c r="AA34" s="1538"/>
      <c r="AB34" s="1538"/>
      <c r="AC34" s="1538"/>
      <c r="AD34" s="1538"/>
      <c r="AE34" s="1538"/>
      <c r="AF34" s="1538"/>
      <c r="AG34" s="1538"/>
      <c r="AH34" s="1538"/>
      <c r="AI34" s="1538"/>
      <c r="AJ34" s="1538"/>
      <c r="AK34" s="1538"/>
      <c r="AL34" s="1538"/>
      <c r="AM34" s="1538"/>
      <c r="AN34" s="1539"/>
      <c r="AO34" s="501"/>
    </row>
    <row r="35" spans="1:41" ht="5.0999999999999996" customHeight="1">
      <c r="A35" s="1618"/>
      <c r="B35" s="1619"/>
      <c r="C35" s="1619"/>
      <c r="D35" s="1619"/>
      <c r="E35" s="1619"/>
      <c r="F35" s="1619"/>
      <c r="G35" s="1619"/>
      <c r="H35" s="1619"/>
      <c r="I35" s="1619"/>
      <c r="J35" s="1619"/>
      <c r="K35" s="1619"/>
      <c r="L35" s="1619"/>
      <c r="M35" s="1619"/>
      <c r="N35" s="1619"/>
      <c r="O35" s="1619"/>
      <c r="P35" s="1619"/>
      <c r="Q35" s="1619"/>
      <c r="R35" s="1619"/>
      <c r="S35" s="1619"/>
      <c r="T35" s="1619"/>
      <c r="U35" s="1619"/>
      <c r="V35" s="1619"/>
      <c r="W35" s="1619"/>
      <c r="X35" s="1619"/>
      <c r="Y35" s="1619"/>
      <c r="Z35" s="1619"/>
      <c r="AA35" s="1619"/>
      <c r="AB35" s="1619"/>
      <c r="AC35" s="1619"/>
      <c r="AD35" s="1619"/>
      <c r="AE35" s="1619"/>
      <c r="AF35" s="1619"/>
      <c r="AG35" s="1619"/>
      <c r="AH35" s="1619"/>
      <c r="AI35" s="1619"/>
      <c r="AJ35" s="1619"/>
      <c r="AK35" s="1619"/>
      <c r="AL35" s="1619"/>
      <c r="AM35" s="1619"/>
      <c r="AN35" s="1619"/>
      <c r="AO35" s="1620"/>
    </row>
    <row r="36" spans="1:41">
      <c r="A36" s="1517" t="s">
        <v>3760</v>
      </c>
      <c r="B36" s="1606"/>
      <c r="C36" s="1606"/>
      <c r="D36" s="1606"/>
      <c r="E36" s="1606"/>
      <c r="F36" s="1606"/>
      <c r="G36" s="1606"/>
      <c r="H36" s="1606"/>
      <c r="I36" s="1606"/>
      <c r="J36" s="1606"/>
      <c r="K36" s="1606"/>
      <c r="L36" s="1606"/>
      <c r="M36" s="1606"/>
      <c r="N36" s="1606"/>
      <c r="O36" s="1606"/>
      <c r="P36" s="1606"/>
      <c r="Q36" s="1606"/>
      <c r="R36" s="1606"/>
      <c r="S36" s="1606"/>
      <c r="T36" s="1606"/>
      <c r="U36" s="1606"/>
      <c r="V36" s="1606"/>
      <c r="W36" s="1606"/>
      <c r="X36" s="1606"/>
      <c r="Y36" s="1606"/>
      <c r="Z36" s="1606"/>
      <c r="AA36" s="1606"/>
      <c r="AB36" s="1606"/>
      <c r="AC36" s="1606"/>
      <c r="AD36" s="1606"/>
      <c r="AE36" s="1606"/>
      <c r="AF36" s="1606"/>
      <c r="AG36" s="1606"/>
      <c r="AH36" s="1606"/>
      <c r="AI36" s="1662"/>
      <c r="AJ36" s="1662"/>
      <c r="AK36" s="1662"/>
      <c r="AL36" s="1662"/>
      <c r="AM36" s="1662"/>
      <c r="AN36" s="1662"/>
      <c r="AO36" s="877"/>
    </row>
    <row r="37" spans="1:41" ht="5.0999999999999996" customHeight="1">
      <c r="A37" s="1526"/>
      <c r="B37" s="1494"/>
      <c r="C37" s="1494"/>
      <c r="D37" s="1494"/>
      <c r="E37" s="1494"/>
      <c r="F37" s="1494"/>
      <c r="G37" s="1494"/>
      <c r="H37" s="1494"/>
      <c r="I37" s="1494"/>
      <c r="J37" s="1494"/>
      <c r="K37" s="1494"/>
      <c r="L37" s="1494"/>
      <c r="M37" s="1494"/>
      <c r="N37" s="1494"/>
      <c r="O37" s="1494"/>
      <c r="P37" s="1494"/>
      <c r="Q37" s="1494"/>
      <c r="R37" s="1494"/>
      <c r="S37" s="1494"/>
      <c r="T37" s="1494"/>
      <c r="U37" s="1494"/>
      <c r="V37" s="1494"/>
      <c r="W37" s="1494"/>
      <c r="X37" s="1494"/>
      <c r="Y37" s="1494"/>
      <c r="Z37" s="1494"/>
      <c r="AA37" s="1494"/>
      <c r="AB37" s="1494"/>
      <c r="AC37" s="1494"/>
      <c r="AD37" s="1494"/>
      <c r="AE37" s="1494"/>
      <c r="AF37" s="1494"/>
      <c r="AG37" s="1494"/>
      <c r="AH37" s="1494"/>
      <c r="AI37" s="1762"/>
      <c r="AJ37" s="1762"/>
      <c r="AK37" s="1762"/>
      <c r="AL37" s="1762"/>
      <c r="AM37" s="1762"/>
      <c r="AN37" s="1762"/>
      <c r="AO37" s="1763"/>
    </row>
    <row r="38" spans="1:41" ht="9.9499999999999993" customHeight="1">
      <c r="A38" s="1760" t="s">
        <v>91</v>
      </c>
      <c r="B38" s="1761"/>
      <c r="C38" s="1761"/>
      <c r="D38" s="1761"/>
      <c r="E38" s="1592"/>
      <c r="F38" s="1592"/>
      <c r="G38" s="1592"/>
      <c r="H38" s="1592"/>
      <c r="I38" s="1592"/>
      <c r="J38" s="1592"/>
      <c r="K38" s="1592"/>
      <c r="L38" s="1790"/>
      <c r="M38" s="1693" t="s">
        <v>90</v>
      </c>
      <c r="N38" s="1693"/>
      <c r="O38" s="1693"/>
      <c r="P38" s="1693"/>
      <c r="Q38" s="1693"/>
      <c r="R38" s="1693"/>
      <c r="S38" s="1721"/>
      <c r="T38" s="1721"/>
      <c r="U38" s="1721"/>
      <c r="V38" s="290"/>
      <c r="W38" s="1693" t="s">
        <v>109</v>
      </c>
      <c r="X38" s="1693"/>
      <c r="Y38" s="1693"/>
      <c r="Z38" s="1693"/>
      <c r="AA38" s="290"/>
      <c r="AB38" s="1693" t="s">
        <v>141</v>
      </c>
      <c r="AC38" s="1693"/>
      <c r="AD38" s="1693"/>
      <c r="AE38" s="1693"/>
      <c r="AF38" s="1721"/>
      <c r="AG38" s="1721"/>
      <c r="AH38" s="290"/>
      <c r="AI38" s="1722" t="s">
        <v>262</v>
      </c>
      <c r="AJ38" s="1723"/>
      <c r="AK38" s="1723"/>
      <c r="AL38" s="1723"/>
      <c r="AM38" s="1723"/>
      <c r="AN38" s="1723"/>
      <c r="AO38" s="1724"/>
    </row>
    <row r="39" spans="1:41" ht="18" customHeight="1">
      <c r="A39" s="1797" t="str">
        <f>+CONCATENATE('1Př2'!D44)</f>
        <v/>
      </c>
      <c r="B39" s="1798"/>
      <c r="C39" s="1798"/>
      <c r="D39" s="1798"/>
      <c r="E39" s="1798"/>
      <c r="F39" s="1798"/>
      <c r="G39" s="1798"/>
      <c r="H39" s="1798"/>
      <c r="I39" s="1798"/>
      <c r="J39" s="1798"/>
      <c r="K39" s="1799"/>
      <c r="L39" s="1502"/>
      <c r="M39" s="1791" t="str">
        <f>+CONCATENATE('1Př2'!B44)</f>
        <v/>
      </c>
      <c r="N39" s="1792"/>
      <c r="O39" s="1792"/>
      <c r="P39" s="1792"/>
      <c r="Q39" s="1792"/>
      <c r="R39" s="1792"/>
      <c r="S39" s="1792"/>
      <c r="T39" s="1792"/>
      <c r="U39" s="1793"/>
      <c r="V39" s="290"/>
      <c r="W39" s="1794"/>
      <c r="X39" s="1738"/>
      <c r="Y39" s="1738"/>
      <c r="Z39" s="1739"/>
      <c r="AA39" s="290"/>
      <c r="AB39" s="1737" t="str">
        <f>+MID('1Př2'!F44,1,10)</f>
        <v/>
      </c>
      <c r="AC39" s="1738"/>
      <c r="AD39" s="1738"/>
      <c r="AE39" s="1738"/>
      <c r="AF39" s="1795"/>
      <c r="AG39" s="1796"/>
      <c r="AH39" s="290"/>
      <c r="AI39" s="1794"/>
      <c r="AJ39" s="1738"/>
      <c r="AK39" s="1738"/>
      <c r="AL39" s="1738"/>
      <c r="AM39" s="1795"/>
      <c r="AN39" s="1795"/>
      <c r="AO39" s="1796"/>
    </row>
    <row r="40" spans="1:41" ht="9.9499999999999993" customHeight="1">
      <c r="A40" s="1749" t="s">
        <v>259</v>
      </c>
      <c r="B40" s="1544"/>
      <c r="C40" s="1544"/>
      <c r="D40" s="1544"/>
      <c r="E40" s="1503"/>
      <c r="F40" s="1503"/>
      <c r="G40" s="1503"/>
      <c r="H40" s="1503"/>
      <c r="I40" s="1503"/>
      <c r="J40" s="1503"/>
      <c r="K40" s="1503"/>
      <c r="L40" s="414"/>
      <c r="M40" s="1493" t="s">
        <v>42</v>
      </c>
      <c r="N40" s="1493"/>
      <c r="O40" s="1493"/>
      <c r="P40" s="1493"/>
      <c r="Q40" s="559"/>
      <c r="R40" s="1493" t="s">
        <v>260</v>
      </c>
      <c r="S40" s="1493"/>
      <c r="T40" s="1493"/>
      <c r="U40" s="1493"/>
      <c r="V40" s="1493"/>
      <c r="W40" s="1493"/>
      <c r="X40" s="1527"/>
      <c r="Y40" s="1527"/>
      <c r="Z40" s="1527"/>
      <c r="AA40" s="414"/>
      <c r="AB40" s="1493" t="s">
        <v>43</v>
      </c>
      <c r="AC40" s="1527"/>
      <c r="AD40" s="1527"/>
      <c r="AE40" s="1527"/>
      <c r="AF40" s="1527"/>
      <c r="AG40" s="1493" t="s">
        <v>261</v>
      </c>
      <c r="AH40" s="1493"/>
      <c r="AI40" s="1493"/>
      <c r="AJ40" s="1493"/>
      <c r="AK40" s="1493"/>
      <c r="AL40" s="1493"/>
      <c r="AM40" s="1527"/>
      <c r="AN40" s="1527"/>
      <c r="AO40" s="1527"/>
    </row>
    <row r="41" spans="1:41" ht="18" customHeight="1">
      <c r="A41" s="1572" t="str">
        <f>+IF(EXACT(A39,"")," ",CONCATENATE(ZAKL_DATA!B16))</f>
        <v xml:space="preserve"> </v>
      </c>
      <c r="B41" s="1740"/>
      <c r="C41" s="1740"/>
      <c r="D41" s="1740"/>
      <c r="E41" s="1740"/>
      <c r="F41" s="1740"/>
      <c r="G41" s="1740"/>
      <c r="H41" s="1740"/>
      <c r="I41" s="1740"/>
      <c r="J41" s="1740"/>
      <c r="K41" s="1741"/>
      <c r="L41" s="414"/>
      <c r="M41" s="1572" t="str">
        <f>+IF(EXACT(A39,"")," ",CONCATENATE(ZAKL_DATA!B17))</f>
        <v xml:space="preserve"> </v>
      </c>
      <c r="N41" s="1742"/>
      <c r="O41" s="1742"/>
      <c r="P41" s="1574"/>
      <c r="Q41" s="559"/>
      <c r="R41" s="1800" t="str">
        <f>+IF(EXACT(A39,"")," ",CONCATENATE(ZAKL_DATA!B18))</f>
        <v xml:space="preserve"> </v>
      </c>
      <c r="S41" s="1801"/>
      <c r="T41" s="1801"/>
      <c r="U41" s="1801"/>
      <c r="V41" s="1801"/>
      <c r="W41" s="1801"/>
      <c r="X41" s="1801"/>
      <c r="Y41" s="1801"/>
      <c r="Z41" s="1802"/>
      <c r="AA41" s="414"/>
      <c r="AB41" s="1572" t="str">
        <f>+IF(EXACT(A39,"")," ",CONCATENATE(ZAKL_DATA!B19))</f>
        <v xml:space="preserve"> </v>
      </c>
      <c r="AC41" s="1742"/>
      <c r="AD41" s="1742"/>
      <c r="AE41" s="1574"/>
      <c r="AF41" s="560"/>
      <c r="AG41" s="1800" t="str">
        <f>+IF(EXACT(A39,"")," ",CONCATENATE(ZAKL_DATA!B20))</f>
        <v xml:space="preserve"> </v>
      </c>
      <c r="AH41" s="1801"/>
      <c r="AI41" s="1801"/>
      <c r="AJ41" s="1801"/>
      <c r="AK41" s="1801"/>
      <c r="AL41" s="1801"/>
      <c r="AM41" s="1801"/>
      <c r="AN41" s="1801"/>
      <c r="AO41" s="1802"/>
    </row>
    <row r="42" spans="1:41" ht="5.0999999999999996" customHeight="1">
      <c r="A42" s="1712"/>
      <c r="B42" s="1502"/>
      <c r="C42" s="1502"/>
      <c r="D42" s="1502"/>
      <c r="E42" s="1502"/>
      <c r="F42" s="1502"/>
      <c r="G42" s="1502"/>
      <c r="H42" s="1502"/>
      <c r="I42" s="1502"/>
      <c r="J42" s="1502"/>
      <c r="K42" s="1502"/>
      <c r="L42" s="1502"/>
      <c r="M42" s="1502"/>
      <c r="N42" s="1502"/>
      <c r="O42" s="1502"/>
      <c r="P42" s="1502"/>
      <c r="Q42" s="1502"/>
      <c r="R42" s="1502"/>
      <c r="S42" s="1502"/>
      <c r="T42" s="1502"/>
      <c r="U42" s="1502"/>
      <c r="V42" s="1502"/>
      <c r="W42" s="1502"/>
      <c r="X42" s="1502"/>
      <c r="Y42" s="1502"/>
      <c r="Z42" s="1502"/>
      <c r="AA42" s="1502"/>
      <c r="AB42" s="1502"/>
      <c r="AC42" s="1502"/>
      <c r="AD42" s="1502"/>
      <c r="AE42" s="1502"/>
      <c r="AF42" s="1502"/>
      <c r="AG42" s="1502"/>
      <c r="AH42" s="1502"/>
      <c r="AI42" s="1502"/>
      <c r="AJ42" s="1502"/>
      <c r="AK42" s="1502"/>
      <c r="AL42" s="1502"/>
      <c r="AM42" s="1502"/>
      <c r="AN42" s="1502"/>
      <c r="AO42" s="1713"/>
    </row>
    <row r="43" spans="1:41">
      <c r="A43" s="1517" t="s">
        <v>3761</v>
      </c>
      <c r="B43" s="1606"/>
      <c r="C43" s="1606"/>
      <c r="D43" s="1606"/>
      <c r="E43" s="1606"/>
      <c r="F43" s="1606"/>
      <c r="G43" s="1606"/>
      <c r="H43" s="1606"/>
      <c r="I43" s="1606"/>
      <c r="J43" s="1606"/>
      <c r="K43" s="1606"/>
      <c r="L43" s="1606"/>
      <c r="M43" s="1606"/>
      <c r="N43" s="1606"/>
      <c r="O43" s="1606"/>
      <c r="P43" s="1606"/>
      <c r="Q43" s="1606"/>
      <c r="R43" s="1606"/>
      <c r="S43" s="1606"/>
      <c r="T43" s="1606"/>
      <c r="U43" s="1606"/>
      <c r="V43" s="1606"/>
      <c r="W43" s="1606"/>
      <c r="X43" s="1606"/>
      <c r="Y43" s="1606"/>
      <c r="Z43" s="1606"/>
      <c r="AA43" s="1606"/>
      <c r="AB43" s="1606"/>
      <c r="AC43" s="1606"/>
      <c r="AD43" s="1606"/>
      <c r="AE43" s="1606"/>
      <c r="AF43" s="1606"/>
      <c r="AG43" s="1606"/>
      <c r="AH43" s="1606"/>
      <c r="AI43" s="1606"/>
      <c r="AJ43" s="1606"/>
      <c r="AK43" s="1606"/>
      <c r="AL43" s="1606"/>
      <c r="AM43" s="1606"/>
      <c r="AN43" s="1606"/>
      <c r="AO43" s="1519"/>
    </row>
    <row r="44" spans="1:41" ht="26.1" customHeight="1">
      <c r="A44" s="1787" t="s">
        <v>3996</v>
      </c>
      <c r="B44" s="1788"/>
      <c r="C44" s="1788"/>
      <c r="D44" s="1788"/>
      <c r="E44" s="1788"/>
      <c r="F44" s="1788"/>
      <c r="G44" s="1788"/>
      <c r="H44" s="1788"/>
      <c r="I44" s="1788"/>
      <c r="J44" s="1788"/>
      <c r="K44" s="1788"/>
      <c r="L44" s="1788"/>
      <c r="M44" s="1788"/>
      <c r="N44" s="1788"/>
      <c r="O44" s="1788"/>
      <c r="P44" s="1788"/>
      <c r="Q44" s="1788"/>
      <c r="R44" s="1788"/>
      <c r="S44" s="1788"/>
      <c r="T44" s="1788"/>
      <c r="U44" s="1788"/>
      <c r="V44" s="1788"/>
      <c r="W44" s="1788"/>
      <c r="X44" s="1788"/>
      <c r="Y44" s="1788"/>
      <c r="Z44" s="1788"/>
      <c r="AA44" s="1788"/>
      <c r="AB44" s="1788"/>
      <c r="AC44" s="1788"/>
      <c r="AD44" s="1788"/>
      <c r="AE44" s="1788"/>
      <c r="AF44" s="1788"/>
      <c r="AG44" s="1788"/>
      <c r="AH44" s="1788"/>
      <c r="AI44" s="1788"/>
      <c r="AJ44" s="1788"/>
      <c r="AK44" s="1788"/>
      <c r="AL44" s="1788"/>
      <c r="AM44" s="1788"/>
      <c r="AN44" s="1788"/>
      <c r="AO44" s="1789"/>
    </row>
    <row r="45" spans="1:41" ht="4.5" customHeight="1">
      <c r="A45" s="1803"/>
      <c r="B45" s="1804"/>
      <c r="C45" s="1804"/>
      <c r="D45" s="1804"/>
      <c r="E45" s="1804"/>
      <c r="F45" s="1804"/>
      <c r="G45" s="1804"/>
      <c r="H45" s="1804"/>
      <c r="I45" s="1804"/>
      <c r="J45" s="1804"/>
      <c r="K45" s="1804"/>
      <c r="L45" s="1804"/>
      <c r="M45" s="1804"/>
      <c r="N45" s="1804"/>
      <c r="O45" s="1804"/>
      <c r="P45" s="1804"/>
      <c r="Q45" s="1804"/>
      <c r="R45" s="1804"/>
      <c r="S45" s="1804"/>
      <c r="T45" s="1804"/>
      <c r="U45" s="1804"/>
      <c r="V45" s="1804"/>
      <c r="W45" s="1804"/>
      <c r="X45" s="1804"/>
      <c r="Y45" s="1804"/>
      <c r="Z45" s="1804"/>
      <c r="AA45" s="1804"/>
      <c r="AB45" s="1804"/>
      <c r="AC45" s="1804"/>
      <c r="AD45" s="1804"/>
      <c r="AE45" s="1804"/>
      <c r="AF45" s="1804"/>
      <c r="AG45" s="1804"/>
      <c r="AH45" s="1804"/>
      <c r="AI45" s="1804"/>
      <c r="AJ45" s="1804"/>
      <c r="AK45" s="1503"/>
      <c r="AL45" s="1503"/>
      <c r="AM45" s="1503"/>
      <c r="AN45" s="1503"/>
      <c r="AO45" s="1805"/>
    </row>
    <row r="46" spans="1:41">
      <c r="A46" s="1517" t="s">
        <v>3925</v>
      </c>
      <c r="B46" s="1606"/>
      <c r="C46" s="1606"/>
      <c r="D46" s="1606"/>
      <c r="E46" s="1606"/>
      <c r="F46" s="1606"/>
      <c r="G46" s="1606"/>
      <c r="H46" s="1606"/>
      <c r="I46" s="1606"/>
      <c r="J46" s="1606"/>
      <c r="K46" s="1606"/>
      <c r="L46" s="1606"/>
      <c r="M46" s="1606"/>
      <c r="N46" s="1606"/>
      <c r="O46" s="1606"/>
      <c r="P46" s="1606"/>
      <c r="Q46" s="1606"/>
      <c r="R46" s="1606"/>
      <c r="S46" s="1606"/>
      <c r="T46" s="1606"/>
      <c r="U46" s="1606"/>
      <c r="V46" s="1606"/>
      <c r="W46" s="1606"/>
      <c r="X46" s="1606"/>
      <c r="Y46" s="1606"/>
      <c r="Z46" s="1606"/>
      <c r="AA46" s="1606"/>
      <c r="AB46" s="1606"/>
      <c r="AC46" s="1606"/>
      <c r="AD46" s="1606"/>
      <c r="AE46" s="1606"/>
      <c r="AF46" s="1606"/>
      <c r="AG46" s="1606"/>
      <c r="AH46" s="1606"/>
      <c r="AI46" s="1606"/>
      <c r="AJ46" s="1606"/>
      <c r="AK46" s="1606"/>
      <c r="AL46" s="1606"/>
      <c r="AM46" s="1606"/>
      <c r="AN46" s="1606"/>
      <c r="AO46" s="1519"/>
    </row>
    <row r="47" spans="1:41" ht="12.75" customHeight="1">
      <c r="A47" s="1694"/>
      <c r="B47" s="1449"/>
      <c r="C47" s="1449"/>
      <c r="D47" s="1449"/>
      <c r="E47" s="1449"/>
      <c r="F47" s="1449"/>
      <c r="G47" s="1449"/>
      <c r="H47" s="1449"/>
      <c r="I47" s="1449"/>
      <c r="J47" s="1449"/>
      <c r="K47" s="1449"/>
      <c r="L47" s="1449"/>
      <c r="M47" s="1449"/>
      <c r="N47" s="1449"/>
      <c r="O47" s="1449"/>
      <c r="P47" s="1449"/>
      <c r="Q47" s="1449"/>
      <c r="R47" s="1449"/>
      <c r="S47" s="1449"/>
      <c r="T47" s="1449"/>
      <c r="U47" s="1449"/>
      <c r="V47" s="1449"/>
      <c r="W47" s="1449"/>
      <c r="X47" s="1449"/>
      <c r="Y47" s="1449"/>
      <c r="Z47" s="1449"/>
      <c r="AA47" s="1449"/>
      <c r="AB47" s="1449"/>
      <c r="AC47" s="1449"/>
      <c r="AD47" s="1449"/>
      <c r="AE47" s="1449"/>
      <c r="AF47" s="1449"/>
      <c r="AG47" s="1449"/>
      <c r="AH47" s="1449"/>
      <c r="AI47" s="1540" t="s">
        <v>263</v>
      </c>
      <c r="AJ47" s="1678"/>
      <c r="AK47" s="1678"/>
      <c r="AL47" s="1449"/>
      <c r="AM47" s="1449"/>
      <c r="AN47" s="1449"/>
      <c r="AO47" s="1586"/>
    </row>
    <row r="48" spans="1:41" ht="18" customHeight="1">
      <c r="A48" s="1504" t="s">
        <v>3843</v>
      </c>
      <c r="B48" s="1052"/>
      <c r="C48" s="1052"/>
      <c r="D48" s="268"/>
      <c r="E48" s="1679" t="s">
        <v>134</v>
      </c>
      <c r="F48" s="1680"/>
      <c r="G48" s="268" t="s">
        <v>246</v>
      </c>
      <c r="H48" s="1681"/>
      <c r="I48" s="1052"/>
      <c r="J48" s="1052"/>
      <c r="K48" s="1052"/>
      <c r="L48" s="1052"/>
      <c r="M48" s="1052"/>
      <c r="N48" s="1052"/>
      <c r="O48" s="1052"/>
      <c r="P48" s="1052"/>
      <c r="Q48" s="1493" t="s">
        <v>3844</v>
      </c>
      <c r="R48" s="1052"/>
      <c r="S48" s="1052"/>
      <c r="T48" s="1052"/>
      <c r="U48" s="1679" t="s">
        <v>224</v>
      </c>
      <c r="V48" s="1680"/>
      <c r="W48" s="268"/>
      <c r="X48" s="1679" t="s">
        <v>134</v>
      </c>
      <c r="Y48" s="1680"/>
      <c r="Z48" s="268" t="s">
        <v>246</v>
      </c>
      <c r="AA48" s="1681"/>
      <c r="AB48" s="1052"/>
      <c r="AC48" s="1052"/>
      <c r="AD48" s="1052"/>
      <c r="AE48" s="1052"/>
      <c r="AF48" s="1052"/>
      <c r="AG48" s="1052"/>
      <c r="AH48" s="1488"/>
      <c r="AI48" s="1682">
        <v>0</v>
      </c>
      <c r="AJ48" s="1683"/>
      <c r="AK48" s="1490"/>
      <c r="AL48" s="1052"/>
      <c r="AM48" s="1052"/>
      <c r="AN48" s="1052"/>
      <c r="AO48" s="1488"/>
    </row>
    <row r="49" spans="1:41" ht="5.0999999999999996" customHeight="1">
      <c r="A49" s="1490"/>
      <c r="B49" s="1494"/>
      <c r="C49" s="1494"/>
      <c r="D49" s="1494"/>
      <c r="E49" s="1494"/>
      <c r="F49" s="1494"/>
      <c r="G49" s="1494"/>
      <c r="H49" s="1494"/>
      <c r="I49" s="1494"/>
      <c r="J49" s="1494"/>
      <c r="K49" s="1494"/>
      <c r="L49" s="1494"/>
      <c r="M49" s="1494"/>
      <c r="N49" s="1494"/>
      <c r="O49" s="1494"/>
      <c r="P49" s="1494"/>
      <c r="Q49" s="1494"/>
      <c r="R49" s="1494"/>
      <c r="S49" s="1494"/>
      <c r="T49" s="1494"/>
      <c r="U49" s="1494"/>
      <c r="V49" s="1494"/>
      <c r="W49" s="1494"/>
      <c r="X49" s="1494"/>
      <c r="Y49" s="1494"/>
      <c r="Z49" s="1494"/>
      <c r="AA49" s="1494"/>
      <c r="AB49" s="1494"/>
      <c r="AC49" s="1494"/>
      <c r="AD49" s="1494"/>
      <c r="AE49" s="1494"/>
      <c r="AF49" s="1494"/>
      <c r="AG49" s="1494"/>
      <c r="AH49" s="1494"/>
      <c r="AI49" s="1494"/>
      <c r="AJ49" s="1494"/>
      <c r="AK49" s="1494"/>
      <c r="AL49" s="1494"/>
      <c r="AM49" s="1494"/>
      <c r="AN49" s="1494"/>
      <c r="AO49" s="1557"/>
    </row>
    <row r="50" spans="1:41">
      <c r="A50" s="1590" t="s">
        <v>44</v>
      </c>
      <c r="B50" s="1693"/>
      <c r="C50" s="1693"/>
      <c r="D50" s="1502"/>
      <c r="E50" s="1502"/>
      <c r="F50" s="1502"/>
      <c r="G50" s="1502"/>
      <c r="H50" s="1502"/>
      <c r="I50" s="1502"/>
      <c r="J50" s="1502"/>
      <c r="K50" s="1502"/>
      <c r="L50" s="1502"/>
      <c r="M50" s="1502"/>
      <c r="N50" s="1502"/>
      <c r="O50" s="1502"/>
      <c r="P50" s="1502"/>
      <c r="Q50" s="1502"/>
      <c r="R50" s="1502"/>
      <c r="S50" s="1502"/>
      <c r="T50" s="1502"/>
      <c r="U50" s="1502"/>
      <c r="V50" s="1502"/>
      <c r="W50" s="1502"/>
      <c r="X50" s="1502"/>
      <c r="Y50" s="1502"/>
      <c r="Z50" s="1502"/>
      <c r="AA50" s="1502"/>
      <c r="AB50" s="1502"/>
      <c r="AC50" s="1502"/>
      <c r="AD50" s="1502"/>
      <c r="AE50" s="1502"/>
      <c r="AF50" s="1502"/>
      <c r="AG50" s="1052"/>
      <c r="AH50" s="1052"/>
      <c r="AI50" s="1676" t="s">
        <v>297</v>
      </c>
      <c r="AJ50" s="1676"/>
      <c r="AK50" s="1676"/>
      <c r="AL50" s="1676"/>
      <c r="AM50" s="1676"/>
      <c r="AN50" s="1676"/>
      <c r="AO50" s="1677"/>
    </row>
    <row r="51" spans="1:41" ht="18" customHeight="1">
      <c r="A51" s="1737">
        <f ca="1">+TODAY()</f>
        <v>45664</v>
      </c>
      <c r="B51" s="1738"/>
      <c r="C51" s="1739"/>
      <c r="D51" s="290"/>
      <c r="E51" s="1502"/>
      <c r="F51" s="1502"/>
      <c r="G51" s="1734"/>
      <c r="H51" s="1734"/>
      <c r="I51" s="1734"/>
      <c r="J51" s="1734"/>
      <c r="K51" s="1734"/>
      <c r="L51" s="1684" t="s">
        <v>264</v>
      </c>
      <c r="M51" s="1685"/>
      <c r="N51" s="1685"/>
      <c r="O51" s="1685"/>
      <c r="P51" s="1685"/>
      <c r="Q51" s="1685"/>
      <c r="R51" s="1685"/>
      <c r="S51" s="1685"/>
      <c r="T51" s="1685"/>
      <c r="U51" s="1686"/>
      <c r="V51" s="286"/>
      <c r="W51" s="1684" t="s">
        <v>265</v>
      </c>
      <c r="X51" s="1685"/>
      <c r="Y51" s="1685"/>
      <c r="Z51" s="1685"/>
      <c r="AA51" s="1685"/>
      <c r="AB51" s="1685"/>
      <c r="AC51" s="1685"/>
      <c r="AD51" s="1686"/>
      <c r="AE51" s="1619"/>
      <c r="AF51" s="1619"/>
      <c r="AG51" s="1619"/>
      <c r="AH51" s="1619"/>
      <c r="AI51" s="1736"/>
      <c r="AJ51" s="1732"/>
      <c r="AK51" s="1732"/>
      <c r="AL51" s="1732"/>
      <c r="AM51" s="1732"/>
      <c r="AN51" s="1732"/>
      <c r="AO51" s="1733"/>
    </row>
    <row r="52" spans="1:41">
      <c r="A52" s="1487"/>
      <c r="B52" s="1052"/>
      <c r="C52" s="1052"/>
      <c r="D52" s="1052"/>
      <c r="E52" s="1734"/>
      <c r="F52" s="1734"/>
      <c r="G52" s="1734"/>
      <c r="H52" s="1734"/>
      <c r="I52" s="1734"/>
      <c r="J52" s="1734"/>
      <c r="K52" s="1734"/>
      <c r="L52" s="1687"/>
      <c r="M52" s="1688"/>
      <c r="N52" s="1688"/>
      <c r="O52" s="1688"/>
      <c r="P52" s="1688"/>
      <c r="Q52" s="1688"/>
      <c r="R52" s="1688"/>
      <c r="S52" s="1688"/>
      <c r="T52" s="1688"/>
      <c r="U52" s="1689"/>
      <c r="V52" s="286"/>
      <c r="W52" s="1687"/>
      <c r="X52" s="1688"/>
      <c r="Y52" s="1688"/>
      <c r="Z52" s="1688"/>
      <c r="AA52" s="1688"/>
      <c r="AB52" s="1688"/>
      <c r="AC52" s="1688"/>
      <c r="AD52" s="1689"/>
      <c r="AE52" s="288"/>
      <c r="AF52" s="288"/>
      <c r="AG52" s="288"/>
      <c r="AH52" s="288"/>
      <c r="AI52" s="1729" t="s">
        <v>3594</v>
      </c>
      <c r="AJ52" s="1729"/>
      <c r="AK52" s="1729"/>
      <c r="AL52" s="1729"/>
      <c r="AM52" s="1729"/>
      <c r="AN52" s="1729"/>
      <c r="AO52" s="1730"/>
    </row>
    <row r="53" spans="1:41" ht="18" customHeight="1">
      <c r="A53" s="1675"/>
      <c r="B53" s="1052"/>
      <c r="C53" s="1052"/>
      <c r="D53" s="1052"/>
      <c r="E53" s="1735"/>
      <c r="F53" s="1735"/>
      <c r="G53" s="1735"/>
      <c r="H53" s="1735"/>
      <c r="I53" s="1735"/>
      <c r="J53" s="1735"/>
      <c r="K53" s="1735"/>
      <c r="L53" s="1687"/>
      <c r="M53" s="1688"/>
      <c r="N53" s="1688"/>
      <c r="O53" s="1688"/>
      <c r="P53" s="1688"/>
      <c r="Q53" s="1688"/>
      <c r="R53" s="1688"/>
      <c r="S53" s="1688"/>
      <c r="T53" s="1688"/>
      <c r="U53" s="1689"/>
      <c r="V53" s="286"/>
      <c r="W53" s="1687"/>
      <c r="X53" s="1688"/>
      <c r="Y53" s="1688"/>
      <c r="Z53" s="1688"/>
      <c r="AA53" s="1688"/>
      <c r="AB53" s="1688"/>
      <c r="AC53" s="1688"/>
      <c r="AD53" s="1689"/>
      <c r="AE53" s="288"/>
      <c r="AF53" s="288"/>
      <c r="AG53" s="288"/>
      <c r="AH53" s="288"/>
      <c r="AI53" s="1731"/>
      <c r="AJ53" s="1732"/>
      <c r="AK53" s="1732"/>
      <c r="AL53" s="1732"/>
      <c r="AM53" s="1732"/>
      <c r="AN53" s="1732"/>
      <c r="AO53" s="1733"/>
    </row>
    <row r="54" spans="1:41" ht="38.1" customHeight="1">
      <c r="A54" s="1675"/>
      <c r="B54" s="1052"/>
      <c r="C54" s="1052"/>
      <c r="D54" s="1052"/>
      <c r="E54" s="1735"/>
      <c r="F54" s="1735"/>
      <c r="G54" s="1735"/>
      <c r="H54" s="1735"/>
      <c r="I54" s="1735"/>
      <c r="J54" s="1735"/>
      <c r="K54" s="1735"/>
      <c r="L54" s="1687"/>
      <c r="M54" s="1688"/>
      <c r="N54" s="1688"/>
      <c r="O54" s="1688"/>
      <c r="P54" s="1688"/>
      <c r="Q54" s="1688"/>
      <c r="R54" s="1688"/>
      <c r="S54" s="1688"/>
      <c r="T54" s="1688"/>
      <c r="U54" s="1689"/>
      <c r="V54" s="286"/>
      <c r="W54" s="1687"/>
      <c r="X54" s="1688"/>
      <c r="Y54" s="1688"/>
      <c r="Z54" s="1688"/>
      <c r="AA54" s="1688"/>
      <c r="AB54" s="1688"/>
      <c r="AC54" s="1688"/>
      <c r="AD54" s="1689"/>
      <c r="AE54" s="1674"/>
      <c r="AF54" s="1052"/>
      <c r="AG54" s="1052"/>
      <c r="AH54" s="1052"/>
      <c r="AI54" s="1052"/>
      <c r="AJ54" s="1052"/>
      <c r="AK54" s="1052"/>
      <c r="AL54" s="1052"/>
      <c r="AM54" s="1052"/>
      <c r="AN54" s="1052"/>
      <c r="AO54" s="1488"/>
    </row>
    <row r="55" spans="1:41">
      <c r="A55" s="1675"/>
      <c r="B55" s="1052"/>
      <c r="C55" s="1052"/>
      <c r="D55" s="1052"/>
      <c r="E55" s="1735"/>
      <c r="F55" s="1735"/>
      <c r="G55" s="1735"/>
      <c r="H55" s="1735"/>
      <c r="I55" s="1735"/>
      <c r="J55" s="1735"/>
      <c r="K55" s="1735"/>
      <c r="L55" s="1690"/>
      <c r="M55" s="1691"/>
      <c r="N55" s="1691"/>
      <c r="O55" s="1691"/>
      <c r="P55" s="1691"/>
      <c r="Q55" s="1691"/>
      <c r="R55" s="1691"/>
      <c r="S55" s="1691"/>
      <c r="T55" s="1691"/>
      <c r="U55" s="1692"/>
      <c r="V55" s="286"/>
      <c r="W55" s="1690"/>
      <c r="X55" s="1691"/>
      <c r="Y55" s="1691"/>
      <c r="Z55" s="1691"/>
      <c r="AA55" s="1691"/>
      <c r="AB55" s="1691"/>
      <c r="AC55" s="1691"/>
      <c r="AD55" s="1692"/>
      <c r="AE55" s="1675"/>
      <c r="AF55" s="1052"/>
      <c r="AG55" s="1052"/>
      <c r="AH55" s="1052"/>
      <c r="AI55" s="1052"/>
      <c r="AJ55" s="1052"/>
      <c r="AK55" s="1052"/>
      <c r="AL55" s="1052"/>
      <c r="AM55" s="1052"/>
      <c r="AN55" s="1052"/>
      <c r="AO55" s="1488"/>
    </row>
    <row r="56" spans="1:41">
      <c r="A56" s="1668" t="s">
        <v>3998</v>
      </c>
      <c r="B56" s="1669"/>
      <c r="C56" s="1669"/>
      <c r="D56" s="1669"/>
      <c r="E56" s="1669"/>
      <c r="F56" s="1669"/>
      <c r="G56" s="1669"/>
      <c r="H56" s="1669"/>
      <c r="I56" s="1669"/>
      <c r="J56" s="1669"/>
      <c r="K56" s="1669"/>
      <c r="L56" s="1669"/>
      <c r="M56" s="1669"/>
      <c r="N56" s="1669"/>
      <c r="O56" s="1669"/>
      <c r="P56" s="1669"/>
      <c r="Q56" s="1669"/>
      <c r="R56" s="1669"/>
      <c r="S56" s="1669"/>
      <c r="T56" s="1669"/>
      <c r="U56" s="1669"/>
      <c r="V56" s="1669"/>
      <c r="W56" s="1669"/>
      <c r="X56" s="1669"/>
      <c r="Y56" s="1669"/>
      <c r="Z56" s="1669"/>
      <c r="AA56" s="1669"/>
      <c r="AB56" s="1669"/>
      <c r="AC56" s="1669"/>
      <c r="AD56" s="1669"/>
      <c r="AE56" s="1669"/>
      <c r="AF56" s="1669"/>
      <c r="AG56" s="1669"/>
      <c r="AH56" s="1669"/>
      <c r="AI56" s="1669"/>
      <c r="AJ56" s="1669"/>
      <c r="AK56" s="1669"/>
      <c r="AL56" s="1669"/>
      <c r="AM56" s="1669"/>
      <c r="AN56" s="1669"/>
      <c r="AO56" s="1670"/>
    </row>
    <row r="57" spans="1:41" ht="27.95" customHeight="1">
      <c r="A57" s="1671" t="s">
        <v>3999</v>
      </c>
      <c r="B57" s="1672"/>
      <c r="C57" s="1672"/>
      <c r="D57" s="1672"/>
      <c r="E57" s="1672"/>
      <c r="F57" s="1672"/>
      <c r="G57" s="1672"/>
      <c r="H57" s="1672"/>
      <c r="I57" s="1672"/>
      <c r="J57" s="1672"/>
      <c r="K57" s="1672"/>
      <c r="L57" s="1672"/>
      <c r="M57" s="1672"/>
      <c r="N57" s="1672"/>
      <c r="O57" s="1672"/>
      <c r="P57" s="1672"/>
      <c r="Q57" s="1672"/>
      <c r="R57" s="1672"/>
      <c r="S57" s="1672"/>
      <c r="T57" s="1672"/>
      <c r="U57" s="1672"/>
      <c r="V57" s="1672"/>
      <c r="W57" s="1672"/>
      <c r="X57" s="1672"/>
      <c r="Y57" s="1672"/>
      <c r="Z57" s="1672"/>
      <c r="AA57" s="1672"/>
      <c r="AB57" s="1672"/>
      <c r="AC57" s="1672"/>
      <c r="AD57" s="1672"/>
      <c r="AE57" s="1672"/>
      <c r="AF57" s="1672"/>
      <c r="AG57" s="1672"/>
      <c r="AH57" s="1672"/>
      <c r="AI57" s="1672"/>
      <c r="AJ57" s="1672"/>
      <c r="AK57" s="1672"/>
      <c r="AL57" s="1672"/>
      <c r="AM57" s="1672"/>
      <c r="AN57" s="1672"/>
      <c r="AO57" s="1673"/>
    </row>
    <row r="58" spans="1:41">
      <c r="A58" s="1674"/>
      <c r="B58" s="655"/>
      <c r="C58" s="655"/>
      <c r="D58" s="655"/>
      <c r="E58" s="655"/>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1666" t="s">
        <v>266</v>
      </c>
      <c r="AJ58" s="1666"/>
      <c r="AK58" s="1666"/>
      <c r="AL58" s="1666"/>
      <c r="AM58" s="1666"/>
      <c r="AN58" s="1666"/>
      <c r="AO58" s="1667"/>
    </row>
    <row r="59" spans="1:41" ht="15" customHeight="1">
      <c r="A59" s="1719" t="str">
        <f>+'DAP1'!A46</f>
        <v>Formulář zpracovala ASPEKT HM, daňová, účetní a auditorská kancelář, www.danovapriznani.cz, business.center.cz</v>
      </c>
      <c r="B59" s="1720"/>
      <c r="C59" s="1720"/>
      <c r="D59" s="1720"/>
      <c r="E59" s="1720"/>
      <c r="F59" s="1720"/>
      <c r="G59" s="1720"/>
      <c r="H59" s="1720"/>
      <c r="I59" s="1720"/>
      <c r="J59" s="1720"/>
      <c r="K59" s="1720"/>
      <c r="L59" s="1720"/>
      <c r="M59" s="1720"/>
      <c r="N59" s="1720"/>
      <c r="O59" s="1720"/>
      <c r="P59" s="1720"/>
      <c r="Q59" s="1720"/>
      <c r="R59" s="1720"/>
      <c r="S59" s="1720"/>
      <c r="T59" s="1720"/>
      <c r="U59" s="1720"/>
      <c r="V59" s="1720"/>
      <c r="W59" s="1720"/>
      <c r="X59" s="1720"/>
      <c r="Y59" s="1720"/>
      <c r="Z59" s="1720"/>
      <c r="AA59" s="1720"/>
      <c r="AB59" s="1720"/>
      <c r="AC59" s="1720"/>
      <c r="AD59" s="1720"/>
      <c r="AE59" s="1720"/>
      <c r="AF59" s="1720"/>
      <c r="AG59" s="1720"/>
      <c r="AH59" s="1720"/>
      <c r="AI59" s="1720"/>
      <c r="AJ59" s="1716" t="s">
        <v>3993</v>
      </c>
      <c r="AK59" s="1717"/>
      <c r="AL59" s="1717"/>
      <c r="AM59" s="1717"/>
      <c r="AN59" s="1717"/>
      <c r="AO59" s="1718"/>
    </row>
    <row r="60" spans="1:4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row>
    <row r="61" spans="1:4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row>
    <row r="62" spans="1:4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row>
    <row r="63" spans="1:4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row>
    <row r="64" spans="1:4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row>
    <row r="65" spans="1:4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row>
    <row r="66" spans="1:4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row>
    <row r="67" spans="1:4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row>
    <row r="68" spans="1:4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row>
    <row r="69" spans="1:4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row>
    <row r="70" spans="1:4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row>
    <row r="71" spans="1:4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row>
    <row r="72" spans="1:4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row>
    <row r="73" spans="1:4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row>
    <row r="74" spans="1:4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row>
    <row r="75" spans="1:4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row>
    <row r="76" spans="1:41" s="21" customFormat="1"/>
    <row r="77" spans="1:41" s="21" customFormat="1"/>
    <row r="78" spans="1:41" s="21" customFormat="1"/>
    <row r="79" spans="1:41" s="21" customFormat="1"/>
    <row r="80" spans="1:41"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sheetData>
  <sheetProtection algorithmName="SHA-512" hashValue="ZLDzuYFDJ5pRbRv0Qqo52BTUBHG39MLEV9Tt9liejviXU5BD6eITF+HP4j7LvPo+g4Trl9Q98/JO7rCJCwwCFw==" saltValue="HL3dJSZ/xqh8CgfuRiYaPA==" spinCount="100000" sheet="1" objects="1" scenarios="1"/>
  <mergeCells count="152">
    <mergeCell ref="A27:AO27"/>
    <mergeCell ref="A45:AO45"/>
    <mergeCell ref="A49:AO49"/>
    <mergeCell ref="M7:P7"/>
    <mergeCell ref="U7:AM7"/>
    <mergeCell ref="R7:T7"/>
    <mergeCell ref="A7:K7"/>
    <mergeCell ref="AL26:AM26"/>
    <mergeCell ref="AI26:AJ26"/>
    <mergeCell ref="AF26:AG26"/>
    <mergeCell ref="AC26:AD26"/>
    <mergeCell ref="Z26:AA26"/>
    <mergeCell ref="W26:X26"/>
    <mergeCell ref="T26:U26"/>
    <mergeCell ref="Q26:R26"/>
    <mergeCell ref="A26:P26"/>
    <mergeCell ref="A9:C9"/>
    <mergeCell ref="D9:J9"/>
    <mergeCell ref="K9:R9"/>
    <mergeCell ref="S9:Y9"/>
    <mergeCell ref="Z9:AG9"/>
    <mergeCell ref="AH9:AN9"/>
    <mergeCell ref="A35:AO35"/>
    <mergeCell ref="A44:AO44"/>
    <mergeCell ref="A37:AH37"/>
    <mergeCell ref="L38:L39"/>
    <mergeCell ref="M39:U39"/>
    <mergeCell ref="A43:AO43"/>
    <mergeCell ref="A40:K40"/>
    <mergeCell ref="M40:P40"/>
    <mergeCell ref="R40:Z40"/>
    <mergeCell ref="AB40:AF40"/>
    <mergeCell ref="AG40:AO40"/>
    <mergeCell ref="W39:Z39"/>
    <mergeCell ref="AB39:AG39"/>
    <mergeCell ref="AI39:AO39"/>
    <mergeCell ref="A39:K39"/>
    <mergeCell ref="R41:Z41"/>
    <mergeCell ref="AB41:AE41"/>
    <mergeCell ref="AG41:AO41"/>
    <mergeCell ref="A34:E34"/>
    <mergeCell ref="G34:K34"/>
    <mergeCell ref="L34:AN34"/>
    <mergeCell ref="A30:H30"/>
    <mergeCell ref="P28:AH28"/>
    <mergeCell ref="AI28:AJ28"/>
    <mergeCell ref="AL28:AM28"/>
    <mergeCell ref="P30:AG30"/>
    <mergeCell ref="AH30:AN30"/>
    <mergeCell ref="A31:AO31"/>
    <mergeCell ref="A32:AO32"/>
    <mergeCell ref="A33:K33"/>
    <mergeCell ref="L33:AO33"/>
    <mergeCell ref="E21:E22"/>
    <mergeCell ref="H17:L17"/>
    <mergeCell ref="F21:J21"/>
    <mergeCell ref="F22:I22"/>
    <mergeCell ref="W17:Z17"/>
    <mergeCell ref="A19:AO19"/>
    <mergeCell ref="AH21:AO21"/>
    <mergeCell ref="AH22:AO22"/>
    <mergeCell ref="AC21:AG21"/>
    <mergeCell ref="AC22:AF22"/>
    <mergeCell ref="M18:U18"/>
    <mergeCell ref="AA18:AB18"/>
    <mergeCell ref="D1:AI1"/>
    <mergeCell ref="N2:V2"/>
    <mergeCell ref="N3:V3"/>
    <mergeCell ref="A11:AO11"/>
    <mergeCell ref="W38:Z38"/>
    <mergeCell ref="A24:AO24"/>
    <mergeCell ref="A4:AO4"/>
    <mergeCell ref="W2:AH2"/>
    <mergeCell ref="W3:AO3"/>
    <mergeCell ref="A1:C3"/>
    <mergeCell ref="AB38:AG38"/>
    <mergeCell ref="A38:K38"/>
    <mergeCell ref="AI37:AO37"/>
    <mergeCell ref="AC17:AH17"/>
    <mergeCell ref="AJ17:AO17"/>
    <mergeCell ref="AJ18:AO18"/>
    <mergeCell ref="AC18:AH18"/>
    <mergeCell ref="A29:AO29"/>
    <mergeCell ref="I30:J30"/>
    <mergeCell ref="L30:M30"/>
    <mergeCell ref="AB21:AB22"/>
    <mergeCell ref="K21:AA21"/>
    <mergeCell ref="K22:AA22"/>
    <mergeCell ref="A17:G17"/>
    <mergeCell ref="A23:AO23"/>
    <mergeCell ref="C20:AO20"/>
    <mergeCell ref="A36:AO36"/>
    <mergeCell ref="AJ59:AO59"/>
    <mergeCell ref="A59:AI59"/>
    <mergeCell ref="M38:U38"/>
    <mergeCell ref="AI38:AO38"/>
    <mergeCell ref="H18:K18"/>
    <mergeCell ref="A18:F18"/>
    <mergeCell ref="AI52:AO52"/>
    <mergeCell ref="AI53:AO53"/>
    <mergeCell ref="A42:AO42"/>
    <mergeCell ref="E51:K55"/>
    <mergeCell ref="AI51:AO51"/>
    <mergeCell ref="A51:C51"/>
    <mergeCell ref="A41:K41"/>
    <mergeCell ref="M41:P41"/>
    <mergeCell ref="L51:U55"/>
    <mergeCell ref="A25:AO25"/>
    <mergeCell ref="A28:H28"/>
    <mergeCell ref="I28:J28"/>
    <mergeCell ref="L28:M28"/>
    <mergeCell ref="A22:D22"/>
    <mergeCell ref="A21:D21"/>
    <mergeCell ref="D2:M3"/>
    <mergeCell ref="A5:AO5"/>
    <mergeCell ref="A15:AO15"/>
    <mergeCell ref="W18:Z18"/>
    <mergeCell ref="M17:U17"/>
    <mergeCell ref="A12:AO12"/>
    <mergeCell ref="A6:AO6"/>
    <mergeCell ref="A13:F13"/>
    <mergeCell ref="G13:O13"/>
    <mergeCell ref="P13:Q13"/>
    <mergeCell ref="R13:AM13"/>
    <mergeCell ref="D16:AO16"/>
    <mergeCell ref="A14:AO14"/>
    <mergeCell ref="A10:AO10"/>
    <mergeCell ref="AF8:AO8"/>
    <mergeCell ref="A8:AD8"/>
    <mergeCell ref="AI58:AO58"/>
    <mergeCell ref="A56:AO56"/>
    <mergeCell ref="A57:AO57"/>
    <mergeCell ref="A58:AH58"/>
    <mergeCell ref="D50:AH50"/>
    <mergeCell ref="AE54:AO55"/>
    <mergeCell ref="A52:D55"/>
    <mergeCell ref="A46:AO46"/>
    <mergeCell ref="AE51:AH51"/>
    <mergeCell ref="AI50:AO50"/>
    <mergeCell ref="AI47:AO47"/>
    <mergeCell ref="A48:C48"/>
    <mergeCell ref="E48:F48"/>
    <mergeCell ref="H48:P48"/>
    <mergeCell ref="Q48:T48"/>
    <mergeCell ref="U48:V48"/>
    <mergeCell ref="X48:Y48"/>
    <mergeCell ref="AA48:AH48"/>
    <mergeCell ref="AI48:AJ48"/>
    <mergeCell ref="AK48:AO48"/>
    <mergeCell ref="W51:AD55"/>
    <mergeCell ref="A50:C50"/>
    <mergeCell ref="A47:AH47"/>
  </mergeCells>
  <phoneticPr fontId="11" type="noConversion"/>
  <printOptions horizontalCentered="1" verticalCentered="1"/>
  <pageMargins left="0.19685039370078741" right="0.19685039370078741" top="0.39370078740157483" bottom="0.39370078740157483" header="0.51181102362204722" footer="0.51181102362204722"/>
  <pageSetup paperSize="9" scale="89" orientation="portrait" horizontalDpi="300" verticalDpi="300"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4">
    <tabColor rgb="FFFFFF99"/>
    <pageSetUpPr fitToPage="1"/>
  </sheetPr>
  <dimension ref="A1:BS102"/>
  <sheetViews>
    <sheetView workbookViewId="0">
      <selection activeCell="R15" sqref="R15"/>
    </sheetView>
  </sheetViews>
  <sheetFormatPr defaultRowHeight="12.75"/>
  <cols>
    <col min="1" max="1" width="3.7109375" customWidth="1"/>
    <col min="2" max="2" width="25.42578125" customWidth="1"/>
    <col min="3" max="3" width="3.28515625" customWidth="1"/>
    <col min="5" max="31" width="3.140625" customWidth="1"/>
    <col min="32" max="71" width="9.140625" style="436"/>
  </cols>
  <sheetData>
    <row r="1" spans="1:71" ht="45.75" customHeight="1">
      <c r="A1" s="1853" t="s">
        <v>3664</v>
      </c>
      <c r="B1" s="1854"/>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row>
    <row r="2" spans="1:71">
      <c r="A2" s="1584"/>
      <c r="B2" s="1052"/>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row>
    <row r="3" spans="1:71" ht="18">
      <c r="A3" s="1855" t="s">
        <v>3631</v>
      </c>
      <c r="B3" s="1856"/>
      <c r="C3" s="1856"/>
      <c r="D3" s="1856"/>
      <c r="E3" s="1856"/>
      <c r="F3" s="1856"/>
      <c r="G3" s="1856"/>
      <c r="H3" s="1856"/>
      <c r="I3" s="1856"/>
      <c r="J3" s="1856"/>
      <c r="K3" s="1856"/>
      <c r="L3" s="1856"/>
      <c r="M3" s="1856"/>
      <c r="N3" s="1856"/>
      <c r="O3" s="1856"/>
      <c r="P3" s="1856"/>
      <c r="Q3" s="1856"/>
      <c r="R3" s="1856"/>
      <c r="S3" s="1856"/>
      <c r="T3" s="1856"/>
      <c r="U3" s="1856"/>
      <c r="V3" s="1856"/>
      <c r="W3" s="1856"/>
      <c r="X3" s="1856"/>
      <c r="Y3" s="1856"/>
      <c r="Z3" s="1856"/>
      <c r="AA3" s="1856"/>
      <c r="AB3" s="1856"/>
      <c r="AC3" s="1856"/>
      <c r="AD3" s="1856"/>
      <c r="AE3" s="1856"/>
    </row>
    <row r="4" spans="1:71" ht="18">
      <c r="A4" s="1855" t="s">
        <v>3632</v>
      </c>
      <c r="B4" s="1856"/>
      <c r="C4" s="1856"/>
      <c r="D4" s="1856"/>
      <c r="E4" s="1856"/>
      <c r="F4" s="1856"/>
      <c r="G4" s="1856"/>
      <c r="H4" s="1856"/>
      <c r="I4" s="1856"/>
      <c r="J4" s="1856"/>
      <c r="K4" s="1856"/>
      <c r="L4" s="1856"/>
      <c r="M4" s="1856"/>
      <c r="N4" s="1856"/>
      <c r="O4" s="1856"/>
      <c r="P4" s="1856"/>
      <c r="Q4" s="1856"/>
      <c r="R4" s="1856"/>
      <c r="S4" s="1856"/>
      <c r="T4" s="1856"/>
      <c r="U4" s="1856"/>
      <c r="V4" s="1856"/>
      <c r="W4" s="1856"/>
      <c r="X4" s="1856"/>
      <c r="Y4" s="1856"/>
      <c r="Z4" s="1856"/>
      <c r="AA4" s="1856"/>
      <c r="AB4" s="1856"/>
      <c r="AC4" s="1856"/>
      <c r="AD4" s="1856"/>
      <c r="AE4" s="1856"/>
    </row>
    <row r="5" spans="1:71" ht="15.75">
      <c r="A5" s="1857" t="s">
        <v>3633</v>
      </c>
      <c r="B5" s="1858"/>
      <c r="C5" s="1858"/>
      <c r="D5" s="1858"/>
      <c r="E5" s="1858"/>
      <c r="F5" s="1858"/>
      <c r="G5" s="1858"/>
      <c r="H5" s="1858"/>
      <c r="I5" s="1858"/>
      <c r="J5" s="1858"/>
      <c r="K5" s="1858"/>
      <c r="L5" s="1858"/>
      <c r="M5" s="1858"/>
      <c r="N5" s="1858"/>
      <c r="O5" s="1858"/>
      <c r="P5" s="1858"/>
      <c r="Q5" s="1858"/>
      <c r="R5" s="1858"/>
      <c r="S5" s="1858"/>
      <c r="T5" s="1858"/>
      <c r="U5" s="1858"/>
      <c r="V5" s="1858"/>
      <c r="W5" s="1858"/>
      <c r="X5" s="1858"/>
      <c r="Y5" s="1858"/>
      <c r="Z5" s="1858"/>
      <c r="AA5" s="1858"/>
      <c r="AB5" s="1858"/>
      <c r="AC5" s="1858"/>
      <c r="AD5" s="1858"/>
      <c r="AE5" s="1858"/>
    </row>
    <row r="6" spans="1:71">
      <c r="A6" s="1584"/>
      <c r="B6" s="1052"/>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row>
    <row r="7" spans="1:71" ht="27" customHeight="1">
      <c r="A7" s="1843" t="s">
        <v>3634</v>
      </c>
      <c r="B7" s="1844"/>
      <c r="C7" s="423"/>
      <c r="D7" s="1848" t="s">
        <v>3635</v>
      </c>
      <c r="E7" s="1849"/>
      <c r="F7" s="1849"/>
      <c r="G7" s="1849"/>
      <c r="H7" s="1849"/>
      <c r="I7" s="1849"/>
      <c r="J7" s="1849"/>
      <c r="K7" s="1849"/>
      <c r="L7" s="1849"/>
      <c r="M7" s="1849"/>
      <c r="N7" s="1849"/>
      <c r="O7" s="1849"/>
      <c r="P7" s="1849"/>
      <c r="Q7" s="423"/>
      <c r="R7" s="1851" t="s">
        <v>3636</v>
      </c>
      <c r="S7" s="1852"/>
      <c r="T7" s="1852"/>
      <c r="U7" s="1852"/>
      <c r="V7" s="1852"/>
      <c r="W7" s="1852"/>
      <c r="X7" s="1852"/>
      <c r="Y7" s="1852"/>
      <c r="Z7" s="1852"/>
      <c r="AA7" s="1852"/>
      <c r="AB7" s="1852"/>
      <c r="AC7" s="1852"/>
      <c r="AD7" s="1852"/>
      <c r="AE7" s="1852"/>
    </row>
    <row r="8" spans="1:71" ht="18" customHeight="1">
      <c r="A8" s="1845" t="str">
        <f>+'SP1'!$A$6:$F$6</f>
        <v/>
      </c>
      <c r="B8" s="1536"/>
      <c r="C8" s="417"/>
      <c r="D8" s="1846"/>
      <c r="E8" s="1449"/>
      <c r="F8" s="1449"/>
      <c r="G8" s="1449"/>
      <c r="H8" s="1449"/>
      <c r="I8" s="1449"/>
      <c r="J8" s="1449"/>
      <c r="K8" s="1449"/>
      <c r="L8" s="1449"/>
      <c r="M8" s="1449"/>
      <c r="N8" s="1449"/>
      <c r="O8" s="1449"/>
      <c r="P8" s="1586"/>
      <c r="Q8" s="417"/>
      <c r="R8" s="1850" t="str">
        <f>+'SP1'!$U$6</f>
        <v/>
      </c>
      <c r="S8" s="1516"/>
      <c r="T8" s="1516"/>
      <c r="U8" s="1516"/>
      <c r="V8" s="1516"/>
      <c r="W8" s="1516"/>
      <c r="X8" s="1516"/>
      <c r="Y8" s="1516"/>
      <c r="Z8" s="1516"/>
      <c r="AA8" s="1516"/>
      <c r="AB8" s="1516"/>
      <c r="AC8" s="1516"/>
      <c r="AD8" s="1516"/>
      <c r="AE8" s="950"/>
    </row>
    <row r="9" spans="1:71" ht="15" customHeight="1">
      <c r="A9" s="417"/>
      <c r="B9" s="417"/>
      <c r="C9" s="417"/>
      <c r="D9" s="1491"/>
      <c r="E9" s="1052"/>
      <c r="F9" s="1052"/>
      <c r="G9" s="1052"/>
      <c r="H9" s="1052"/>
      <c r="I9" s="1052"/>
      <c r="J9" s="1052"/>
      <c r="K9" s="1052"/>
      <c r="L9" s="1052"/>
      <c r="M9" s="1052"/>
      <c r="N9" s="1052"/>
      <c r="O9" s="1052"/>
      <c r="P9" s="1488"/>
      <c r="Q9" s="417"/>
      <c r="R9" s="417"/>
      <c r="S9" s="417"/>
      <c r="T9" s="417"/>
      <c r="U9" s="417"/>
      <c r="V9" s="417"/>
      <c r="W9" s="417"/>
      <c r="X9" s="417"/>
      <c r="Y9" s="417"/>
      <c r="Z9" s="417"/>
      <c r="AA9" s="417"/>
      <c r="AB9" s="417"/>
      <c r="AC9" s="417"/>
      <c r="AD9" s="417"/>
      <c r="AE9" s="417"/>
    </row>
    <row r="10" spans="1:71" ht="15" customHeight="1">
      <c r="A10" s="417"/>
      <c r="B10" s="417"/>
      <c r="C10" s="417"/>
      <c r="D10" s="1847"/>
      <c r="E10" s="1503"/>
      <c r="F10" s="1503"/>
      <c r="G10" s="1503"/>
      <c r="H10" s="1503"/>
      <c r="I10" s="1503"/>
      <c r="J10" s="1503"/>
      <c r="K10" s="1503"/>
      <c r="L10" s="1503"/>
      <c r="M10" s="1503"/>
      <c r="N10" s="1503"/>
      <c r="O10" s="1503"/>
      <c r="P10" s="1570"/>
      <c r="Q10" s="417"/>
      <c r="R10" s="417"/>
      <c r="S10" s="417"/>
      <c r="T10" s="417"/>
      <c r="U10" s="417"/>
      <c r="V10" s="417"/>
      <c r="W10" s="417"/>
      <c r="X10" s="417"/>
      <c r="Y10" s="417"/>
      <c r="Z10" s="417"/>
      <c r="AA10" s="417"/>
      <c r="AB10" s="417"/>
      <c r="AC10" s="417"/>
      <c r="AD10" s="417"/>
      <c r="AE10" s="417"/>
    </row>
    <row r="11" spans="1:71">
      <c r="A11" s="1584"/>
      <c r="B11" s="1052"/>
      <c r="C11" s="1052"/>
      <c r="D11" s="1052"/>
      <c r="E11" s="1052"/>
      <c r="F11" s="1052"/>
      <c r="G11" s="1052"/>
      <c r="H11" s="1052"/>
      <c r="I11" s="1052"/>
      <c r="J11" s="1052"/>
      <c r="K11" s="1052"/>
      <c r="L11" s="1052"/>
      <c r="M11" s="1052"/>
      <c r="N11" s="1052"/>
      <c r="O11" s="1052"/>
      <c r="P11" s="1052"/>
      <c r="Q11" s="1052"/>
      <c r="R11" s="1052"/>
      <c r="S11" s="1052"/>
      <c r="T11" s="1052"/>
      <c r="U11" s="1052"/>
      <c r="V11" s="1052"/>
      <c r="W11" s="1052"/>
      <c r="X11" s="1052"/>
      <c r="Y11" s="1052"/>
      <c r="Z11" s="1052"/>
      <c r="AA11" s="1052"/>
      <c r="AB11" s="1052"/>
      <c r="AC11" s="1052"/>
      <c r="AD11" s="1052"/>
      <c r="AE11" s="1052"/>
    </row>
    <row r="12" spans="1:71" s="351" customFormat="1" ht="18" customHeight="1">
      <c r="A12" s="1821" t="s">
        <v>3637</v>
      </c>
      <c r="B12" s="1822"/>
      <c r="C12" s="1822"/>
      <c r="D12" s="1822"/>
      <c r="E12" s="1822"/>
      <c r="F12" s="1822"/>
      <c r="G12" s="1822"/>
      <c r="H12" s="1822"/>
      <c r="I12" s="1822"/>
      <c r="J12" s="1822"/>
      <c r="K12" s="1822"/>
      <c r="L12" s="1822"/>
      <c r="M12" s="1822"/>
      <c r="N12" s="1822"/>
      <c r="O12" s="1822"/>
      <c r="P12" s="1822"/>
      <c r="Q12" s="1822"/>
      <c r="R12" s="1822"/>
      <c r="S12" s="1822"/>
      <c r="T12" s="1822"/>
      <c r="U12" s="1822"/>
      <c r="V12" s="1822"/>
      <c r="W12" s="1822"/>
      <c r="X12" s="1822"/>
      <c r="Y12" s="1822"/>
      <c r="Z12" s="1822"/>
      <c r="AA12" s="1822"/>
      <c r="AB12" s="1822"/>
      <c r="AC12" s="1822"/>
      <c r="AD12" s="1822"/>
      <c r="AE12" s="1823"/>
      <c r="AF12" s="437"/>
      <c r="AG12" s="437"/>
      <c r="AH12" s="437"/>
      <c r="AI12" s="437"/>
      <c r="AJ12" s="437"/>
      <c r="AK12" s="437"/>
      <c r="AL12" s="437"/>
      <c r="AM12" s="437"/>
      <c r="AN12" s="437"/>
      <c r="AO12" s="437"/>
      <c r="AP12" s="437"/>
      <c r="AQ12" s="437"/>
      <c r="AR12" s="437"/>
      <c r="AS12" s="437"/>
      <c r="AT12" s="437"/>
      <c r="AU12" s="437"/>
      <c r="AV12" s="437"/>
      <c r="AW12" s="437"/>
      <c r="AX12" s="437"/>
      <c r="AY12" s="437"/>
      <c r="AZ12" s="437"/>
      <c r="BA12" s="437"/>
      <c r="BB12" s="437"/>
      <c r="BC12" s="437"/>
      <c r="BD12" s="437"/>
      <c r="BE12" s="437"/>
      <c r="BF12" s="437"/>
      <c r="BG12" s="437"/>
      <c r="BH12" s="437"/>
      <c r="BI12" s="437"/>
      <c r="BJ12" s="437"/>
      <c r="BK12" s="437"/>
      <c r="BL12" s="437"/>
      <c r="BM12" s="437"/>
      <c r="BN12" s="437"/>
      <c r="BO12" s="437"/>
      <c r="BP12" s="437"/>
      <c r="BQ12" s="437"/>
      <c r="BR12" s="437"/>
      <c r="BS12" s="437"/>
    </row>
    <row r="13" spans="1:71">
      <c r="A13" s="424"/>
      <c r="B13" s="425" t="s">
        <v>91</v>
      </c>
      <c r="C13" s="425"/>
      <c r="D13" s="1838" t="s">
        <v>90</v>
      </c>
      <c r="E13" s="1839"/>
      <c r="F13" s="1839"/>
      <c r="G13" s="1839"/>
      <c r="H13" s="1839"/>
      <c r="I13" s="1839"/>
      <c r="J13" s="425"/>
      <c r="K13" s="1838" t="s">
        <v>109</v>
      </c>
      <c r="L13" s="1839"/>
      <c r="M13" s="1839"/>
      <c r="N13" s="1839"/>
      <c r="O13" s="1839"/>
      <c r="P13" s="1839"/>
      <c r="Q13" s="425"/>
      <c r="R13" s="1838" t="s">
        <v>262</v>
      </c>
      <c r="S13" s="1839"/>
      <c r="T13" s="1839"/>
      <c r="U13" s="1839"/>
      <c r="V13" s="1839"/>
      <c r="W13" s="1839"/>
      <c r="X13" s="425"/>
      <c r="Y13" s="1838" t="s">
        <v>141</v>
      </c>
      <c r="Z13" s="1839"/>
      <c r="AA13" s="1839"/>
      <c r="AB13" s="1839"/>
      <c r="AC13" s="1839"/>
      <c r="AD13" s="1839"/>
      <c r="AE13" s="426"/>
    </row>
    <row r="14" spans="1:71" ht="18" customHeight="1">
      <c r="A14" s="424"/>
      <c r="B14" s="439" t="str">
        <f>+CONCATENATE('SP1'!$A$10)</f>
        <v>0</v>
      </c>
      <c r="C14" s="417"/>
      <c r="D14" s="1837" t="str">
        <f>+CONCATENATE('SP1'!$H$10)</f>
        <v>0</v>
      </c>
      <c r="E14" s="1511"/>
      <c r="F14" s="1511"/>
      <c r="G14" s="1511"/>
      <c r="H14" s="1511"/>
      <c r="I14" s="1512"/>
      <c r="J14" s="417"/>
      <c r="K14" s="1840" t="str">
        <f>+CONCATENATE('SP1'!$Q$10)</f>
        <v/>
      </c>
      <c r="L14" s="1538"/>
      <c r="M14" s="1538"/>
      <c r="N14" s="1538"/>
      <c r="O14" s="1538"/>
      <c r="P14" s="1539"/>
      <c r="Q14" s="417"/>
      <c r="R14" s="1841">
        <f>+'SP1'!$A$12</f>
        <v>0</v>
      </c>
      <c r="S14" s="1726"/>
      <c r="T14" s="1726"/>
      <c r="U14" s="1726"/>
      <c r="V14" s="1726"/>
      <c r="W14" s="1727"/>
      <c r="X14" s="417"/>
      <c r="Y14" s="1842" t="str">
        <f>+'SP1'!$Y$10</f>
        <v/>
      </c>
      <c r="Z14" s="1516"/>
      <c r="AA14" s="1516"/>
      <c r="AB14" s="1516"/>
      <c r="AC14" s="1516"/>
      <c r="AD14" s="950"/>
      <c r="AE14" s="427"/>
    </row>
    <row r="15" spans="1:71" ht="5.0999999999999996" customHeight="1">
      <c r="A15" s="428"/>
      <c r="B15" s="429"/>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30"/>
    </row>
    <row r="16" spans="1:71" ht="18" customHeight="1">
      <c r="A16" s="1821" t="s">
        <v>3640</v>
      </c>
      <c r="B16" s="1822"/>
      <c r="C16" s="1822"/>
      <c r="D16" s="1822"/>
      <c r="E16" s="1822"/>
      <c r="F16" s="1822"/>
      <c r="G16" s="1822"/>
      <c r="H16" s="1822"/>
      <c r="I16" s="1822"/>
      <c r="J16" s="1822"/>
      <c r="K16" s="1822"/>
      <c r="L16" s="1822"/>
      <c r="M16" s="1822"/>
      <c r="N16" s="1822"/>
      <c r="O16" s="1822"/>
      <c r="P16" s="1822"/>
      <c r="Q16" s="1822"/>
      <c r="R16" s="1822"/>
      <c r="S16" s="1822"/>
      <c r="T16" s="1822"/>
      <c r="U16" s="1822"/>
      <c r="V16" s="1822"/>
      <c r="W16" s="1822"/>
      <c r="X16" s="1822"/>
      <c r="Y16" s="1822"/>
      <c r="Z16" s="1822"/>
      <c r="AA16" s="1822"/>
      <c r="AB16" s="1822"/>
      <c r="AC16" s="1822"/>
      <c r="AD16" s="1822"/>
      <c r="AE16" s="1823"/>
    </row>
    <row r="17" spans="1:31">
      <c r="A17" s="424"/>
      <c r="B17" s="1820" t="s">
        <v>3641</v>
      </c>
      <c r="C17" s="1052"/>
      <c r="D17" s="1052"/>
      <c r="E17" s="1052"/>
      <c r="F17" s="1052"/>
      <c r="G17" s="1052"/>
      <c r="H17" s="1052"/>
      <c r="I17" s="1052"/>
      <c r="J17" s="1052"/>
      <c r="K17" s="1052"/>
      <c r="L17" s="1052"/>
      <c r="M17" s="1052"/>
      <c r="N17" s="1052"/>
      <c r="O17" s="1052"/>
      <c r="P17" s="1052"/>
      <c r="Q17" s="1052"/>
      <c r="R17" s="1052"/>
      <c r="S17" s="1052"/>
      <c r="T17" s="1052"/>
      <c r="U17" s="1052"/>
      <c r="V17" s="1052"/>
      <c r="W17" s="1052"/>
      <c r="X17" s="1052"/>
      <c r="Y17" s="1052"/>
      <c r="Z17" s="1052"/>
      <c r="AA17" s="1052"/>
      <c r="AB17" s="1052"/>
      <c r="AC17" s="1052"/>
      <c r="AD17" s="1052"/>
      <c r="AE17" s="427"/>
    </row>
    <row r="18" spans="1:31" ht="18" customHeight="1">
      <c r="A18" s="424"/>
      <c r="B18" s="1840"/>
      <c r="C18" s="1538"/>
      <c r="D18" s="1538"/>
      <c r="E18" s="1538"/>
      <c r="F18" s="1538"/>
      <c r="G18" s="1538"/>
      <c r="H18" s="1538"/>
      <c r="I18" s="1538"/>
      <c r="J18" s="1538"/>
      <c r="K18" s="1538"/>
      <c r="L18" s="1538"/>
      <c r="M18" s="1538"/>
      <c r="N18" s="1538"/>
      <c r="O18" s="1538"/>
      <c r="P18" s="1538"/>
      <c r="Q18" s="1538"/>
      <c r="R18" s="1538"/>
      <c r="S18" s="1538"/>
      <c r="T18" s="1538"/>
      <c r="U18" s="1538"/>
      <c r="V18" s="1538"/>
      <c r="W18" s="1538"/>
      <c r="X18" s="1538"/>
      <c r="Y18" s="1538"/>
      <c r="Z18" s="1538"/>
      <c r="AA18" s="1538"/>
      <c r="AB18" s="1538"/>
      <c r="AC18" s="1538"/>
      <c r="AD18" s="1539"/>
      <c r="AE18" s="427"/>
    </row>
    <row r="19" spans="1:31" ht="5.0999999999999996" customHeight="1">
      <c r="A19" s="424"/>
      <c r="B19" s="1820"/>
      <c r="C19" s="1052"/>
      <c r="D19" s="1052"/>
      <c r="E19" s="1052"/>
      <c r="F19" s="1052"/>
      <c r="G19" s="1052"/>
      <c r="H19" s="1052"/>
      <c r="I19" s="1052"/>
      <c r="J19" s="1052"/>
      <c r="K19" s="1052"/>
      <c r="L19" s="1052"/>
      <c r="M19" s="1052"/>
      <c r="N19" s="1052"/>
      <c r="O19" s="1052"/>
      <c r="P19" s="1052"/>
      <c r="Q19" s="1052"/>
      <c r="R19" s="1052"/>
      <c r="S19" s="1052"/>
      <c r="T19" s="1052"/>
      <c r="U19" s="1052"/>
      <c r="V19" s="1052"/>
      <c r="W19" s="1052"/>
      <c r="X19" s="1052"/>
      <c r="Y19" s="1052"/>
      <c r="Z19" s="1052"/>
      <c r="AA19" s="1052"/>
      <c r="AB19" s="1052"/>
      <c r="AC19" s="1052"/>
      <c r="AD19" s="1052"/>
      <c r="AE19" s="427"/>
    </row>
    <row r="20" spans="1:31" ht="18" customHeight="1">
      <c r="A20" s="424"/>
      <c r="B20" s="1820" t="s">
        <v>3642</v>
      </c>
      <c r="C20" s="1052"/>
      <c r="D20" s="1052"/>
      <c r="E20" s="1052"/>
      <c r="F20" s="1488"/>
      <c r="G20" s="1832">
        <f>+'DAP1'!F24</f>
        <v>2024</v>
      </c>
      <c r="H20" s="1833"/>
      <c r="I20" s="1833"/>
      <c r="J20" s="1834"/>
      <c r="K20" s="1491"/>
      <c r="L20" s="1052"/>
      <c r="M20" s="1052"/>
      <c r="N20" s="1052"/>
      <c r="O20" s="1052"/>
      <c r="P20" s="1052"/>
      <c r="Q20" s="1052"/>
      <c r="R20" s="1052"/>
      <c r="S20" s="1052"/>
      <c r="T20" s="1052"/>
      <c r="U20" s="1052"/>
      <c r="V20" s="1052"/>
      <c r="W20" s="1052"/>
      <c r="X20" s="1052"/>
      <c r="Y20" s="1052"/>
      <c r="Z20" s="1052"/>
      <c r="AA20" s="1052"/>
      <c r="AB20" s="1052"/>
      <c r="AC20" s="1052"/>
      <c r="AD20" s="1052"/>
      <c r="AE20" s="1488"/>
    </row>
    <row r="21" spans="1:31">
      <c r="A21" s="424"/>
      <c r="B21" s="417"/>
      <c r="C21" s="417"/>
      <c r="D21" s="417"/>
      <c r="E21" s="431">
        <v>1</v>
      </c>
      <c r="F21" s="417"/>
      <c r="G21" s="431">
        <v>2</v>
      </c>
      <c r="H21" s="417"/>
      <c r="I21" s="431">
        <v>3</v>
      </c>
      <c r="J21" s="417"/>
      <c r="K21" s="431">
        <v>4</v>
      </c>
      <c r="L21" s="417"/>
      <c r="M21" s="431">
        <v>5</v>
      </c>
      <c r="N21" s="417"/>
      <c r="O21" s="431">
        <v>6</v>
      </c>
      <c r="P21" s="417"/>
      <c r="Q21" s="431">
        <v>7</v>
      </c>
      <c r="R21" s="417"/>
      <c r="S21" s="431">
        <v>8</v>
      </c>
      <c r="T21" s="417"/>
      <c r="U21" s="431">
        <v>9</v>
      </c>
      <c r="V21" s="417"/>
      <c r="W21" s="431">
        <v>10</v>
      </c>
      <c r="X21" s="417"/>
      <c r="Y21" s="431">
        <v>11</v>
      </c>
      <c r="Z21" s="417"/>
      <c r="AA21" s="431">
        <v>12</v>
      </c>
      <c r="AB21" s="1835" t="s">
        <v>3639</v>
      </c>
      <c r="AC21" s="1836"/>
      <c r="AD21" s="1836"/>
      <c r="AE21" s="427"/>
    </row>
    <row r="22" spans="1:31" ht="18" customHeight="1">
      <c r="A22" s="424"/>
      <c r="B22" s="432" t="s">
        <v>3638</v>
      </c>
      <c r="C22" s="417"/>
      <c r="D22" s="417"/>
      <c r="E22" s="433"/>
      <c r="F22" s="417"/>
      <c r="G22" s="433"/>
      <c r="H22" s="417"/>
      <c r="I22" s="433"/>
      <c r="J22" s="417"/>
      <c r="K22" s="433"/>
      <c r="L22" s="417"/>
      <c r="M22" s="433"/>
      <c r="N22" s="417"/>
      <c r="O22" s="433"/>
      <c r="P22" s="417"/>
      <c r="Q22" s="433"/>
      <c r="R22" s="417"/>
      <c r="S22" s="433"/>
      <c r="T22" s="417"/>
      <c r="U22" s="433"/>
      <c r="V22" s="417"/>
      <c r="W22" s="433"/>
      <c r="X22" s="417"/>
      <c r="Y22" s="433"/>
      <c r="Z22" s="417"/>
      <c r="AA22" s="433"/>
      <c r="AB22" s="417"/>
      <c r="AC22" s="433"/>
      <c r="AD22" s="417"/>
      <c r="AE22" s="427"/>
    </row>
    <row r="23" spans="1:31" ht="5.0999999999999996" customHeight="1">
      <c r="A23" s="428"/>
      <c r="B23" s="429"/>
      <c r="C23" s="429"/>
      <c r="D23" s="429"/>
      <c r="E23" s="429"/>
      <c r="F23" s="429"/>
      <c r="G23" s="429"/>
      <c r="H23" s="429"/>
      <c r="I23" s="429"/>
      <c r="J23" s="429"/>
      <c r="K23" s="429"/>
      <c r="L23" s="429"/>
      <c r="M23" s="429"/>
      <c r="N23" s="429"/>
      <c r="O23" s="429"/>
      <c r="P23" s="429"/>
      <c r="Q23" s="429"/>
      <c r="R23" s="429"/>
      <c r="S23" s="429"/>
      <c r="T23" s="429"/>
      <c r="U23" s="429"/>
      <c r="V23" s="429"/>
      <c r="W23" s="429"/>
      <c r="X23" s="429"/>
      <c r="Y23" s="429"/>
      <c r="Z23" s="429"/>
      <c r="AA23" s="429"/>
      <c r="AB23" s="429"/>
      <c r="AC23" s="429"/>
      <c r="AD23" s="429"/>
      <c r="AE23" s="430"/>
    </row>
    <row r="24" spans="1:31" ht="18" customHeight="1">
      <c r="A24" s="1821" t="s">
        <v>3643</v>
      </c>
      <c r="B24" s="1822"/>
      <c r="C24" s="1822"/>
      <c r="D24" s="1822"/>
      <c r="E24" s="1822"/>
      <c r="F24" s="1822"/>
      <c r="G24" s="1822"/>
      <c r="H24" s="1822"/>
      <c r="I24" s="1822"/>
      <c r="J24" s="1822"/>
      <c r="K24" s="1822"/>
      <c r="L24" s="1822"/>
      <c r="M24" s="1822"/>
      <c r="N24" s="1822"/>
      <c r="O24" s="1822"/>
      <c r="P24" s="1822"/>
      <c r="Q24" s="1822"/>
      <c r="R24" s="1822"/>
      <c r="S24" s="1822"/>
      <c r="T24" s="1822"/>
      <c r="U24" s="1822"/>
      <c r="V24" s="1822"/>
      <c r="W24" s="1822"/>
      <c r="X24" s="1822"/>
      <c r="Y24" s="1822"/>
      <c r="Z24" s="1822"/>
      <c r="AA24" s="1822"/>
      <c r="AB24" s="1822"/>
      <c r="AC24" s="1822"/>
      <c r="AD24" s="1822"/>
      <c r="AE24" s="1823"/>
    </row>
    <row r="25" spans="1:31" ht="60" customHeight="1">
      <c r="A25" s="1831"/>
      <c r="B25" s="1052"/>
      <c r="C25" s="1052"/>
      <c r="D25" s="1052"/>
      <c r="E25" s="1052"/>
      <c r="F25" s="1052"/>
      <c r="G25" s="1052"/>
      <c r="H25" s="1052"/>
      <c r="I25" s="1052"/>
      <c r="J25" s="1052"/>
      <c r="K25" s="1052"/>
      <c r="L25" s="1052"/>
      <c r="M25" s="1052"/>
      <c r="N25" s="1052"/>
      <c r="O25" s="1052"/>
      <c r="P25" s="1052"/>
      <c r="Q25" s="1052"/>
      <c r="R25" s="1052"/>
      <c r="S25" s="1052"/>
      <c r="T25" s="1826"/>
      <c r="U25" s="1827"/>
      <c r="V25" s="1827"/>
      <c r="W25" s="1827"/>
      <c r="X25" s="1827"/>
      <c r="Y25" s="1827"/>
      <c r="Z25" s="1827"/>
      <c r="AA25" s="1827"/>
      <c r="AB25" s="1827"/>
      <c r="AC25" s="1827"/>
      <c r="AD25" s="1827"/>
      <c r="AE25" s="427"/>
    </row>
    <row r="26" spans="1:31" ht="18" customHeight="1">
      <c r="A26" s="424"/>
      <c r="B26" s="432" t="s">
        <v>347</v>
      </c>
      <c r="C26" s="1824">
        <f ca="1">+TODAY()</f>
        <v>45664</v>
      </c>
      <c r="D26" s="1825"/>
      <c r="E26" s="1825"/>
      <c r="F26" s="1825"/>
      <c r="G26" s="1584"/>
      <c r="H26" s="1052"/>
      <c r="I26" s="1052"/>
      <c r="J26" s="1052"/>
      <c r="K26" s="1052"/>
      <c r="L26" s="1052"/>
      <c r="M26" s="1052"/>
      <c r="N26" s="1052"/>
      <c r="O26" s="1052"/>
      <c r="P26" s="1052"/>
      <c r="Q26" s="1052"/>
      <c r="R26" s="1052"/>
      <c r="S26" s="1052"/>
      <c r="T26" s="1828"/>
      <c r="U26" s="1828"/>
      <c r="V26" s="1828"/>
      <c r="W26" s="1828"/>
      <c r="X26" s="1828"/>
      <c r="Y26" s="1828"/>
      <c r="Z26" s="1828"/>
      <c r="AA26" s="1828"/>
      <c r="AB26" s="1828"/>
      <c r="AC26" s="1828"/>
      <c r="AD26" s="1828"/>
      <c r="AE26" s="427"/>
    </row>
    <row r="27" spans="1:31">
      <c r="A27" s="424"/>
      <c r="B27" s="417"/>
      <c r="C27" s="417"/>
      <c r="D27" s="417"/>
      <c r="E27" s="417"/>
      <c r="F27" s="417"/>
      <c r="G27" s="417"/>
      <c r="H27" s="417"/>
      <c r="I27" s="417"/>
      <c r="J27" s="417"/>
      <c r="K27" s="417"/>
      <c r="L27" s="417"/>
      <c r="M27" s="417"/>
      <c r="N27" s="417"/>
      <c r="O27" s="417"/>
      <c r="P27" s="417"/>
      <c r="Q27" s="417"/>
      <c r="R27" s="417"/>
      <c r="S27" s="417"/>
      <c r="T27" s="1829" t="s">
        <v>348</v>
      </c>
      <c r="U27" s="1830"/>
      <c r="V27" s="1830"/>
      <c r="W27" s="1830"/>
      <c r="X27" s="1830"/>
      <c r="Y27" s="1830"/>
      <c r="Z27" s="1830"/>
      <c r="AA27" s="1830"/>
      <c r="AB27" s="1830"/>
      <c r="AC27" s="1830"/>
      <c r="AD27" s="1830"/>
      <c r="AE27" s="427"/>
    </row>
    <row r="28" spans="1:31" ht="5.0999999999999996" customHeight="1">
      <c r="A28" s="428"/>
      <c r="B28" s="429"/>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30"/>
    </row>
    <row r="29" spans="1:31" ht="28.5" customHeight="1">
      <c r="A29" s="434"/>
      <c r="B29" s="1814" t="s">
        <v>3644</v>
      </c>
      <c r="C29" s="1815"/>
      <c r="D29" s="1815"/>
      <c r="E29" s="1815"/>
      <c r="F29" s="1815"/>
      <c r="G29" s="1815"/>
      <c r="H29" s="1815"/>
      <c r="I29" s="1815"/>
      <c r="J29" s="1815"/>
      <c r="K29" s="1815"/>
      <c r="L29" s="1815"/>
      <c r="M29" s="1815"/>
      <c r="N29" s="1815"/>
      <c r="O29" s="1815"/>
      <c r="P29" s="1815"/>
      <c r="Q29" s="1815"/>
      <c r="R29" s="1815"/>
      <c r="S29" s="1815"/>
      <c r="T29" s="1815"/>
      <c r="U29" s="1815"/>
      <c r="V29" s="1815"/>
      <c r="W29" s="1815"/>
      <c r="X29" s="1815"/>
      <c r="Y29" s="1815"/>
      <c r="Z29" s="1815"/>
      <c r="AA29" s="1815"/>
      <c r="AB29" s="1815"/>
      <c r="AC29" s="1815"/>
      <c r="AD29" s="1815"/>
      <c r="AE29" s="435"/>
    </row>
    <row r="30" spans="1:31">
      <c r="A30" s="1816"/>
      <c r="B30" s="1503"/>
      <c r="C30" s="1503"/>
      <c r="D30" s="1503"/>
      <c r="E30" s="1503"/>
      <c r="F30" s="1503"/>
      <c r="G30" s="1503"/>
      <c r="H30" s="1503"/>
      <c r="I30" s="1503"/>
      <c r="J30" s="1503"/>
      <c r="K30" s="1503"/>
      <c r="L30" s="1503"/>
      <c r="M30" s="1503"/>
      <c r="N30" s="1503"/>
      <c r="O30" s="1503"/>
      <c r="P30" s="1503"/>
      <c r="Q30" s="1503"/>
      <c r="R30" s="1503"/>
      <c r="S30" s="1503"/>
      <c r="T30" s="1503"/>
      <c r="U30" s="1503"/>
      <c r="V30" s="1503"/>
      <c r="W30" s="1503"/>
      <c r="X30" s="1503"/>
      <c r="Y30" s="1503"/>
      <c r="Z30" s="1503"/>
      <c r="AA30" s="1817" t="s">
        <v>3645</v>
      </c>
      <c r="AB30" s="1818"/>
      <c r="AC30" s="1818"/>
      <c r="AD30" s="1818"/>
      <c r="AE30" s="1819"/>
    </row>
    <row r="31" spans="1:31" s="436" customFormat="1">
      <c r="A31" s="438"/>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row>
    <row r="32" spans="1:31" s="436" customFormat="1">
      <c r="A32" s="438"/>
      <c r="B32" s="438"/>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row>
    <row r="33" spans="1:31" s="436" customFormat="1">
      <c r="A33" s="438"/>
      <c r="B33" s="438"/>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row>
    <row r="34" spans="1:31" s="436" customFormat="1">
      <c r="A34" s="438"/>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row>
    <row r="35" spans="1:31" s="436" customFormat="1">
      <c r="A35" s="438"/>
      <c r="B35" s="438"/>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row>
    <row r="36" spans="1:31" s="436" customFormat="1">
      <c r="A36" s="438"/>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row>
    <row r="37" spans="1:31" s="436" customFormat="1">
      <c r="A37" s="438"/>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row>
    <row r="38" spans="1:31" s="436" customFormat="1">
      <c r="A38" s="438"/>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row>
    <row r="39" spans="1:31" s="436" customFormat="1">
      <c r="A39" s="438"/>
      <c r="B39" s="438"/>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row>
    <row r="40" spans="1:31" s="436" customFormat="1">
      <c r="A40" s="438"/>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row>
    <row r="41" spans="1:31" s="436" customFormat="1">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row>
    <row r="42" spans="1:31" s="436" customFormat="1">
      <c r="A42" s="438"/>
      <c r="B42" s="438"/>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row>
    <row r="43" spans="1:31" s="436" customFormat="1">
      <c r="A43" s="438"/>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row>
    <row r="44" spans="1:31" s="436" customFormat="1">
      <c r="A44" s="438"/>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row>
    <row r="45" spans="1:31" s="436" customFormat="1">
      <c r="A45" s="438"/>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row>
    <row r="46" spans="1:31" s="436" customFormat="1">
      <c r="A46" s="438"/>
      <c r="B46" s="438"/>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row>
    <row r="47" spans="1:31" s="436" customFormat="1"/>
    <row r="48" spans="1:31" s="436" customFormat="1"/>
    <row r="49" s="436" customFormat="1"/>
    <row r="50" s="436" customFormat="1"/>
    <row r="51" s="436" customFormat="1"/>
    <row r="52" s="436" customFormat="1"/>
    <row r="53" s="436" customFormat="1"/>
    <row r="54" s="436" customFormat="1"/>
    <row r="55" s="436" customFormat="1"/>
    <row r="56" s="436" customFormat="1"/>
    <row r="57" s="436" customFormat="1"/>
    <row r="58" s="436" customFormat="1"/>
    <row r="59" s="436" customFormat="1"/>
    <row r="60" s="436" customFormat="1"/>
    <row r="61" s="436" customFormat="1"/>
    <row r="62" s="436" customFormat="1"/>
    <row r="63" s="436" customFormat="1"/>
    <row r="64" s="436" customFormat="1"/>
    <row r="65" s="436" customFormat="1"/>
    <row r="66" s="436" customFormat="1"/>
    <row r="67" s="436" customFormat="1"/>
    <row r="68" s="436" customFormat="1"/>
    <row r="69" s="436" customFormat="1"/>
    <row r="70" s="436" customFormat="1"/>
    <row r="71" s="436" customFormat="1"/>
    <row r="72" s="436" customFormat="1"/>
    <row r="73" s="436" customFormat="1"/>
    <row r="74" s="436" customFormat="1"/>
    <row r="75" s="436" customFormat="1"/>
    <row r="76" s="436" customFormat="1"/>
    <row r="77" s="436" customFormat="1"/>
    <row r="78" s="436" customFormat="1"/>
    <row r="79" s="436" customFormat="1"/>
    <row r="80" s="436" customFormat="1"/>
    <row r="81" s="436" customFormat="1"/>
    <row r="82" s="436" customFormat="1"/>
    <row r="83" s="436" customFormat="1"/>
    <row r="84" s="436" customFormat="1"/>
    <row r="85" s="436" customFormat="1"/>
    <row r="86" s="436" customFormat="1"/>
    <row r="87" s="436" customFormat="1"/>
    <row r="88" s="436" customFormat="1"/>
    <row r="89" s="436" customFormat="1"/>
    <row r="90" s="436" customFormat="1"/>
    <row r="91" s="436" customFormat="1"/>
    <row r="92" s="436" customFormat="1"/>
    <row r="93" s="436" customFormat="1"/>
    <row r="94" s="436" customFormat="1"/>
    <row r="95" s="436" customFormat="1"/>
    <row r="96" s="436" customFormat="1"/>
    <row r="97" spans="1:31" s="436" customFormat="1"/>
    <row r="98" spans="1:31" s="436" customFormat="1"/>
    <row r="99" spans="1:31" s="436" customFormat="1"/>
    <row r="100" spans="1:31" s="436" customFormat="1"/>
    <row r="101" spans="1:31" s="436" customFormat="1"/>
    <row r="102" spans="1:31">
      <c r="A102" s="423"/>
      <c r="B102" s="423"/>
      <c r="C102" s="423"/>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row>
  </sheetData>
  <sheetProtection password="EF65" sheet="1" objects="1" scenarios="1"/>
  <mergeCells count="39">
    <mergeCell ref="A6:AE6"/>
    <mergeCell ref="A1:B1"/>
    <mergeCell ref="A2:AE2"/>
    <mergeCell ref="A3:AE3"/>
    <mergeCell ref="A4:AE4"/>
    <mergeCell ref="A5:AE5"/>
    <mergeCell ref="A7:B7"/>
    <mergeCell ref="A8:B8"/>
    <mergeCell ref="D8:P10"/>
    <mergeCell ref="D7:P7"/>
    <mergeCell ref="R8:AE8"/>
    <mergeCell ref="R7:AE7"/>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B29:AD29"/>
    <mergeCell ref="A30:Z30"/>
    <mergeCell ref="AA30:AE30"/>
    <mergeCell ref="B20:F20"/>
    <mergeCell ref="A24:AE24"/>
    <mergeCell ref="C26:F26"/>
    <mergeCell ref="G26:S26"/>
    <mergeCell ref="T25:AD26"/>
    <mergeCell ref="T27:AD27"/>
    <mergeCell ref="A25:S25"/>
    <mergeCell ref="G20:J20"/>
    <mergeCell ref="K20:AE20"/>
  </mergeCells>
  <pageMargins left="0.19685039370078741" right="0.19685039370078741" top="0.39370078740157483" bottom="0.39370078740157483" header="0.31496062992125984" footer="0.31496062992125984"/>
  <pageSetup paperSize="9" scale="7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5">
    <tabColor rgb="FFFFFF99"/>
    <pageSetUpPr fitToPage="1"/>
  </sheetPr>
  <dimension ref="A1:BS101"/>
  <sheetViews>
    <sheetView workbookViewId="0">
      <selection activeCell="R9" sqref="R9"/>
    </sheetView>
  </sheetViews>
  <sheetFormatPr defaultRowHeight="12.75"/>
  <cols>
    <col min="1" max="1" width="3.7109375" customWidth="1"/>
    <col min="2" max="2" width="25.42578125" customWidth="1"/>
    <col min="3" max="3" width="3.28515625" customWidth="1"/>
    <col min="5" max="31" width="3.140625" customWidth="1"/>
    <col min="32" max="71" width="9.140625" style="436"/>
  </cols>
  <sheetData>
    <row r="1" spans="1:71" ht="45.75" customHeight="1">
      <c r="A1" s="1853" t="s">
        <v>3664</v>
      </c>
      <c r="B1" s="1854"/>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row>
    <row r="2" spans="1:71">
      <c r="A2" s="1584"/>
      <c r="B2" s="1052"/>
      <c r="C2" s="1052"/>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2"/>
      <c r="AC2" s="1052"/>
      <c r="AD2" s="1052"/>
      <c r="AE2" s="1052"/>
    </row>
    <row r="3" spans="1:71" ht="18">
      <c r="A3" s="1855" t="s">
        <v>3646</v>
      </c>
      <c r="B3" s="1856"/>
      <c r="C3" s="1856"/>
      <c r="D3" s="1856"/>
      <c r="E3" s="1856"/>
      <c r="F3" s="1856"/>
      <c r="G3" s="1856"/>
      <c r="H3" s="1856"/>
      <c r="I3" s="1856"/>
      <c r="J3" s="1856"/>
      <c r="K3" s="1856"/>
      <c r="L3" s="1856"/>
      <c r="M3" s="1856"/>
      <c r="N3" s="1856"/>
      <c r="O3" s="1856"/>
      <c r="P3" s="1856"/>
      <c r="Q3" s="1856"/>
      <c r="R3" s="1856"/>
      <c r="S3" s="1856"/>
      <c r="T3" s="1856"/>
      <c r="U3" s="1856"/>
      <c r="V3" s="1856"/>
      <c r="W3" s="1856"/>
      <c r="X3" s="1856"/>
      <c r="Y3" s="1856"/>
      <c r="Z3" s="1856"/>
      <c r="AA3" s="1856"/>
      <c r="AB3" s="1856"/>
      <c r="AC3" s="1856"/>
      <c r="AD3" s="1856"/>
      <c r="AE3" s="1856"/>
    </row>
    <row r="4" spans="1:71" s="303" customFormat="1" ht="15">
      <c r="A4" s="1863" t="s">
        <v>3633</v>
      </c>
      <c r="B4" s="1864"/>
      <c r="C4" s="1864"/>
      <c r="D4" s="1864"/>
      <c r="E4" s="1864"/>
      <c r="F4" s="1864"/>
      <c r="G4" s="1864"/>
      <c r="H4" s="1864"/>
      <c r="I4" s="1864"/>
      <c r="J4" s="1864"/>
      <c r="K4" s="1864"/>
      <c r="L4" s="1864"/>
      <c r="M4" s="1864"/>
      <c r="N4" s="1864"/>
      <c r="O4" s="1864"/>
      <c r="P4" s="1864"/>
      <c r="Q4" s="1864"/>
      <c r="R4" s="1864"/>
      <c r="S4" s="1864"/>
      <c r="T4" s="1864"/>
      <c r="U4" s="1864"/>
      <c r="V4" s="1864"/>
      <c r="W4" s="1864"/>
      <c r="X4" s="1864"/>
      <c r="Y4" s="1864"/>
      <c r="Z4" s="1864"/>
      <c r="AA4" s="1864"/>
      <c r="AB4" s="1864"/>
      <c r="AC4" s="1864"/>
      <c r="AD4" s="1864"/>
      <c r="AE4" s="1864"/>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row>
    <row r="5" spans="1:71">
      <c r="A5" s="1584"/>
      <c r="B5" s="1052"/>
      <c r="C5" s="1052"/>
      <c r="D5" s="1052"/>
      <c r="E5" s="1052"/>
      <c r="F5" s="1052"/>
      <c r="G5" s="1052"/>
      <c r="H5" s="1052"/>
      <c r="I5" s="1052"/>
      <c r="J5" s="1052"/>
      <c r="K5" s="1052"/>
      <c r="L5" s="1052"/>
      <c r="M5" s="1052"/>
      <c r="N5" s="1052"/>
      <c r="O5" s="1052"/>
      <c r="P5" s="1052"/>
      <c r="Q5" s="1052"/>
      <c r="R5" s="1052"/>
      <c r="S5" s="1052"/>
      <c r="T5" s="1052"/>
      <c r="U5" s="1052"/>
      <c r="V5" s="1052"/>
      <c r="W5" s="1052"/>
      <c r="X5" s="1052"/>
      <c r="Y5" s="1052"/>
      <c r="Z5" s="1052"/>
      <c r="AA5" s="1052"/>
      <c r="AB5" s="1052"/>
      <c r="AC5" s="1052"/>
      <c r="AD5" s="1052"/>
      <c r="AE5" s="1052"/>
    </row>
    <row r="6" spans="1:71" ht="27" customHeight="1">
      <c r="A6" s="1843" t="s">
        <v>3634</v>
      </c>
      <c r="B6" s="1844"/>
      <c r="C6" s="423"/>
      <c r="D6" s="1848" t="s">
        <v>3635</v>
      </c>
      <c r="E6" s="1849"/>
      <c r="F6" s="1849"/>
      <c r="G6" s="1849"/>
      <c r="H6" s="1849"/>
      <c r="I6" s="1849"/>
      <c r="J6" s="1849"/>
      <c r="K6" s="1849"/>
      <c r="L6" s="1849"/>
      <c r="M6" s="1849"/>
      <c r="N6" s="1849"/>
      <c r="O6" s="1849"/>
      <c r="P6" s="1849"/>
      <c r="Q6" s="423"/>
      <c r="R6" s="1851" t="s">
        <v>3636</v>
      </c>
      <c r="S6" s="1852"/>
      <c r="T6" s="1852"/>
      <c r="U6" s="1852"/>
      <c r="V6" s="1852"/>
      <c r="W6" s="1852"/>
      <c r="X6" s="1852"/>
      <c r="Y6" s="1852"/>
      <c r="Z6" s="1852"/>
      <c r="AA6" s="1852"/>
      <c r="AB6" s="1852"/>
      <c r="AC6" s="1852"/>
      <c r="AD6" s="1852"/>
      <c r="AE6" s="1852"/>
    </row>
    <row r="7" spans="1:71" ht="18" customHeight="1">
      <c r="A7" s="1845" t="str">
        <f>+'SP1'!$A$6:$F$6</f>
        <v/>
      </c>
      <c r="B7" s="1536"/>
      <c r="C7" s="417"/>
      <c r="D7" s="1846"/>
      <c r="E7" s="1449"/>
      <c r="F7" s="1449"/>
      <c r="G7" s="1449"/>
      <c r="H7" s="1449"/>
      <c r="I7" s="1449"/>
      <c r="J7" s="1449"/>
      <c r="K7" s="1449"/>
      <c r="L7" s="1449"/>
      <c r="M7" s="1449"/>
      <c r="N7" s="1449"/>
      <c r="O7" s="1449"/>
      <c r="P7" s="1586"/>
      <c r="Q7" s="417"/>
      <c r="R7" s="1850" t="str">
        <f>+'SP1'!$U$6</f>
        <v/>
      </c>
      <c r="S7" s="1516"/>
      <c r="T7" s="1516"/>
      <c r="U7" s="1516"/>
      <c r="V7" s="1516"/>
      <c r="W7" s="1516"/>
      <c r="X7" s="1516"/>
      <c r="Y7" s="1516"/>
      <c r="Z7" s="1516"/>
      <c r="AA7" s="1516"/>
      <c r="AB7" s="1516"/>
      <c r="AC7" s="1516"/>
      <c r="AD7" s="1516"/>
      <c r="AE7" s="950"/>
    </row>
    <row r="8" spans="1:71" ht="15" customHeight="1">
      <c r="A8" s="417"/>
      <c r="B8" s="417"/>
      <c r="C8" s="417"/>
      <c r="D8" s="1491"/>
      <c r="E8" s="1052"/>
      <c r="F8" s="1052"/>
      <c r="G8" s="1052"/>
      <c r="H8" s="1052"/>
      <c r="I8" s="1052"/>
      <c r="J8" s="1052"/>
      <c r="K8" s="1052"/>
      <c r="L8" s="1052"/>
      <c r="M8" s="1052"/>
      <c r="N8" s="1052"/>
      <c r="O8" s="1052"/>
      <c r="P8" s="1488"/>
      <c r="Q8" s="417"/>
      <c r="R8" s="417"/>
      <c r="S8" s="417"/>
      <c r="T8" s="417"/>
      <c r="U8" s="417"/>
      <c r="V8" s="417"/>
      <c r="W8" s="417"/>
      <c r="X8" s="417"/>
      <c r="Y8" s="417"/>
      <c r="Z8" s="417"/>
      <c r="AA8" s="417"/>
      <c r="AB8" s="417"/>
      <c r="AC8" s="417"/>
      <c r="AD8" s="417"/>
      <c r="AE8" s="417"/>
    </row>
    <row r="9" spans="1:71" ht="15" customHeight="1">
      <c r="A9" s="417"/>
      <c r="B9" s="417"/>
      <c r="C9" s="417"/>
      <c r="D9" s="1847"/>
      <c r="E9" s="1503"/>
      <c r="F9" s="1503"/>
      <c r="G9" s="1503"/>
      <c r="H9" s="1503"/>
      <c r="I9" s="1503"/>
      <c r="J9" s="1503"/>
      <c r="K9" s="1503"/>
      <c r="L9" s="1503"/>
      <c r="M9" s="1503"/>
      <c r="N9" s="1503"/>
      <c r="O9" s="1503"/>
      <c r="P9" s="1570"/>
      <c r="Q9" s="417"/>
      <c r="R9" s="417"/>
      <c r="S9" s="417"/>
      <c r="T9" s="417"/>
      <c r="U9" s="417"/>
      <c r="V9" s="417"/>
      <c r="W9" s="417"/>
      <c r="X9" s="417"/>
      <c r="Y9" s="417"/>
      <c r="Z9" s="417"/>
      <c r="AA9" s="417"/>
      <c r="AB9" s="417"/>
      <c r="AC9" s="417"/>
      <c r="AD9" s="417"/>
      <c r="AE9" s="417"/>
    </row>
    <row r="10" spans="1:71">
      <c r="A10" s="1584"/>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A10" s="1052"/>
      <c r="AB10" s="1052"/>
      <c r="AC10" s="1052"/>
      <c r="AD10" s="1052"/>
      <c r="AE10" s="1052"/>
    </row>
    <row r="11" spans="1:71" s="351" customFormat="1" ht="18" customHeight="1">
      <c r="A11" s="1821" t="s">
        <v>3637</v>
      </c>
      <c r="B11" s="1822"/>
      <c r="C11" s="1822"/>
      <c r="D11" s="1822"/>
      <c r="E11" s="1822"/>
      <c r="F11" s="1822"/>
      <c r="G11" s="1822"/>
      <c r="H11" s="1822"/>
      <c r="I11" s="1822"/>
      <c r="J11" s="1822"/>
      <c r="K11" s="1822"/>
      <c r="L11" s="1822"/>
      <c r="M11" s="1822"/>
      <c r="N11" s="1822"/>
      <c r="O11" s="1822"/>
      <c r="P11" s="1822"/>
      <c r="Q11" s="1822"/>
      <c r="R11" s="1822"/>
      <c r="S11" s="1822"/>
      <c r="T11" s="1822"/>
      <c r="U11" s="1822"/>
      <c r="V11" s="1822"/>
      <c r="W11" s="1822"/>
      <c r="X11" s="1822"/>
      <c r="Y11" s="1822"/>
      <c r="Z11" s="1822"/>
      <c r="AA11" s="1822"/>
      <c r="AB11" s="1822"/>
      <c r="AC11" s="1822"/>
      <c r="AD11" s="1822"/>
      <c r="AE11" s="1823"/>
      <c r="AF11" s="437"/>
      <c r="AG11" s="437"/>
      <c r="AH11" s="437"/>
      <c r="AI11" s="437"/>
      <c r="AJ11" s="437"/>
      <c r="AK11" s="437"/>
      <c r="AL11" s="437"/>
      <c r="AM11" s="437"/>
      <c r="AN11" s="437"/>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7"/>
      <c r="BK11" s="437"/>
      <c r="BL11" s="437"/>
      <c r="BM11" s="437"/>
      <c r="BN11" s="437"/>
      <c r="BO11" s="437"/>
      <c r="BP11" s="437"/>
      <c r="BQ11" s="437"/>
      <c r="BR11" s="437"/>
      <c r="BS11" s="437"/>
    </row>
    <row r="12" spans="1:71">
      <c r="A12" s="424"/>
      <c r="B12" s="425" t="s">
        <v>91</v>
      </c>
      <c r="C12" s="425"/>
      <c r="D12" s="1838" t="s">
        <v>90</v>
      </c>
      <c r="E12" s="1839"/>
      <c r="F12" s="1839"/>
      <c r="G12" s="1839"/>
      <c r="H12" s="1839"/>
      <c r="I12" s="1839"/>
      <c r="J12" s="425"/>
      <c r="K12" s="1838" t="s">
        <v>109</v>
      </c>
      <c r="L12" s="1839"/>
      <c r="M12" s="1839"/>
      <c r="N12" s="1839"/>
      <c r="O12" s="1839"/>
      <c r="P12" s="1839"/>
      <c r="Q12" s="425"/>
      <c r="R12" s="1838" t="s">
        <v>262</v>
      </c>
      <c r="S12" s="1839"/>
      <c r="T12" s="1839"/>
      <c r="U12" s="1839"/>
      <c r="V12" s="1839"/>
      <c r="W12" s="1839"/>
      <c r="X12" s="425"/>
      <c r="Y12" s="1838" t="s">
        <v>141</v>
      </c>
      <c r="Z12" s="1839"/>
      <c r="AA12" s="1839"/>
      <c r="AB12" s="1839"/>
      <c r="AC12" s="1839"/>
      <c r="AD12" s="1839"/>
      <c r="AE12" s="426"/>
    </row>
    <row r="13" spans="1:71" ht="18" customHeight="1">
      <c r="A13" s="424"/>
      <c r="B13" s="439" t="str">
        <f>+CONCATENATE('SP1'!$A$10)</f>
        <v>0</v>
      </c>
      <c r="C13" s="417"/>
      <c r="D13" s="1837" t="str">
        <f>+CONCATENATE('SP1'!$H$10)</f>
        <v>0</v>
      </c>
      <c r="E13" s="1511"/>
      <c r="F13" s="1511"/>
      <c r="G13" s="1511"/>
      <c r="H13" s="1511"/>
      <c r="I13" s="1512"/>
      <c r="J13" s="417"/>
      <c r="K13" s="1840" t="str">
        <f>+CONCATENATE('SP1'!$Q$10)</f>
        <v/>
      </c>
      <c r="L13" s="1538"/>
      <c r="M13" s="1538"/>
      <c r="N13" s="1538"/>
      <c r="O13" s="1538"/>
      <c r="P13" s="1539"/>
      <c r="Q13" s="417"/>
      <c r="R13" s="1841">
        <f>+'SP1'!$A$12</f>
        <v>0</v>
      </c>
      <c r="S13" s="1726"/>
      <c r="T13" s="1726"/>
      <c r="U13" s="1726"/>
      <c r="V13" s="1726"/>
      <c r="W13" s="1727"/>
      <c r="X13" s="417"/>
      <c r="Y13" s="1842" t="str">
        <f>+'SP1'!$Y$10</f>
        <v/>
      </c>
      <c r="Z13" s="1516"/>
      <c r="AA13" s="1516"/>
      <c r="AB13" s="1516"/>
      <c r="AC13" s="1516"/>
      <c r="AD13" s="950"/>
      <c r="AE13" s="427"/>
    </row>
    <row r="14" spans="1:71" ht="5.0999999999999996" customHeight="1">
      <c r="A14" s="428"/>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30"/>
    </row>
    <row r="15" spans="1:71" ht="18" customHeight="1">
      <c r="A15" s="1821" t="s">
        <v>3647</v>
      </c>
      <c r="B15" s="1822"/>
      <c r="C15" s="1822"/>
      <c r="D15" s="1822"/>
      <c r="E15" s="1822"/>
      <c r="F15" s="1822"/>
      <c r="G15" s="1822"/>
      <c r="H15" s="1822"/>
      <c r="I15" s="1822"/>
      <c r="J15" s="1822"/>
      <c r="K15" s="1822"/>
      <c r="L15" s="1822"/>
      <c r="M15" s="1822"/>
      <c r="N15" s="1822"/>
      <c r="O15" s="1822"/>
      <c r="P15" s="1822"/>
      <c r="Q15" s="1822"/>
      <c r="R15" s="1822"/>
      <c r="S15" s="1822"/>
      <c r="T15" s="1822"/>
      <c r="U15" s="1822"/>
      <c r="V15" s="1822"/>
      <c r="W15" s="1822"/>
      <c r="X15" s="1822"/>
      <c r="Y15" s="1822"/>
      <c r="Z15" s="1822"/>
      <c r="AA15" s="1822"/>
      <c r="AB15" s="1822"/>
      <c r="AC15" s="1822"/>
      <c r="AD15" s="1822"/>
      <c r="AE15" s="1823"/>
    </row>
    <row r="16" spans="1:71" s="436" customFormat="1">
      <c r="A16" s="424"/>
      <c r="B16" s="1820" t="s">
        <v>3648</v>
      </c>
      <c r="C16" s="1052"/>
      <c r="D16" s="1052"/>
      <c r="E16" s="1052"/>
      <c r="F16" s="1052"/>
      <c r="G16" s="1052"/>
      <c r="H16" s="1052"/>
      <c r="I16" s="1052"/>
      <c r="J16" s="1052"/>
      <c r="K16" s="1052"/>
      <c r="L16" s="1052"/>
      <c r="M16" s="1052"/>
      <c r="N16" s="1052"/>
      <c r="O16" s="1052"/>
      <c r="P16" s="1052"/>
      <c r="Q16" s="1052"/>
      <c r="R16" s="1052"/>
      <c r="S16" s="1052"/>
      <c r="T16" s="1052"/>
      <c r="U16" s="1052"/>
      <c r="V16" s="1052"/>
      <c r="W16" s="1052"/>
      <c r="X16" s="1052"/>
      <c r="Y16" s="1052"/>
      <c r="Z16" s="1052"/>
      <c r="AA16" s="1052"/>
      <c r="AB16" s="1052"/>
      <c r="AC16" s="1052"/>
      <c r="AD16" s="1052"/>
      <c r="AE16" s="427"/>
    </row>
    <row r="17" spans="1:31" s="436" customFormat="1" ht="18" customHeight="1">
      <c r="A17" s="424"/>
      <c r="B17" s="1840"/>
      <c r="C17" s="1538"/>
      <c r="D17" s="1538"/>
      <c r="E17" s="1538"/>
      <c r="F17" s="1538"/>
      <c r="G17" s="1538"/>
      <c r="H17" s="1538"/>
      <c r="I17" s="1538"/>
      <c r="J17" s="1538"/>
      <c r="K17" s="1538"/>
      <c r="L17" s="1538"/>
      <c r="M17" s="1538"/>
      <c r="N17" s="1538"/>
      <c r="O17" s="1538"/>
      <c r="P17" s="1538"/>
      <c r="Q17" s="1538"/>
      <c r="R17" s="1538"/>
      <c r="S17" s="1538"/>
      <c r="T17" s="1538"/>
      <c r="U17" s="1538"/>
      <c r="V17" s="1538"/>
      <c r="W17" s="1538"/>
      <c r="X17" s="1538"/>
      <c r="Y17" s="1538"/>
      <c r="Z17" s="1538"/>
      <c r="AA17" s="1538"/>
      <c r="AB17" s="1538"/>
      <c r="AC17" s="1538"/>
      <c r="AD17" s="1539"/>
      <c r="AE17" s="427"/>
    </row>
    <row r="18" spans="1:31" s="436" customFormat="1" ht="5.0999999999999996" customHeight="1">
      <c r="A18" s="424"/>
      <c r="B18" s="1820"/>
      <c r="C18" s="1052"/>
      <c r="D18" s="1052"/>
      <c r="E18" s="1052"/>
      <c r="F18" s="1052"/>
      <c r="G18" s="1052"/>
      <c r="H18" s="1052"/>
      <c r="I18" s="1052"/>
      <c r="J18" s="1052"/>
      <c r="K18" s="1052"/>
      <c r="L18" s="1052"/>
      <c r="M18" s="1052"/>
      <c r="N18" s="1052"/>
      <c r="O18" s="1052"/>
      <c r="P18" s="1052"/>
      <c r="Q18" s="1052"/>
      <c r="R18" s="1052"/>
      <c r="S18" s="1052"/>
      <c r="T18" s="1052"/>
      <c r="U18" s="1052"/>
      <c r="V18" s="1052"/>
      <c r="W18" s="1052"/>
      <c r="X18" s="1052"/>
      <c r="Y18" s="1052"/>
      <c r="Z18" s="1052"/>
      <c r="AA18" s="1052"/>
      <c r="AB18" s="1052"/>
      <c r="AC18" s="1052"/>
      <c r="AD18" s="1052"/>
      <c r="AE18" s="427"/>
    </row>
    <row r="19" spans="1:31" s="436" customFormat="1" ht="18" customHeight="1">
      <c r="A19" s="424"/>
      <c r="B19" s="425" t="s">
        <v>3649</v>
      </c>
      <c r="C19" s="107"/>
      <c r="D19" s="1832">
        <f>+'DAP1'!F24</f>
        <v>2024</v>
      </c>
      <c r="E19" s="1834"/>
      <c r="F19" s="1862" t="s">
        <v>3706</v>
      </c>
      <c r="G19" s="1000"/>
      <c r="H19" s="1000"/>
      <c r="I19" s="1000"/>
      <c r="J19" s="1000"/>
      <c r="K19" s="1000"/>
      <c r="L19" s="1052"/>
      <c r="M19" s="1488"/>
      <c r="N19" s="1859"/>
      <c r="O19" s="1860"/>
      <c r="P19" s="1511"/>
      <c r="Q19" s="1512"/>
      <c r="R19" s="1861" t="s">
        <v>3650</v>
      </c>
      <c r="S19" s="1052"/>
      <c r="T19" s="1052"/>
      <c r="U19" s="1052"/>
      <c r="V19" s="1052"/>
      <c r="W19" s="1052"/>
      <c r="X19" s="1052"/>
      <c r="Y19" s="1052"/>
      <c r="Z19" s="1052"/>
      <c r="AA19" s="1052"/>
      <c r="AB19" s="1052"/>
      <c r="AC19" s="1052"/>
      <c r="AD19" s="1052"/>
      <c r="AE19" s="1488"/>
    </row>
    <row r="20" spans="1:31" s="436" customFormat="1" ht="5.0999999999999996" customHeight="1">
      <c r="A20" s="424"/>
      <c r="B20" s="1820"/>
      <c r="C20" s="1052"/>
      <c r="D20" s="1052"/>
      <c r="E20" s="1052"/>
      <c r="F20" s="1052"/>
      <c r="G20" s="1052"/>
      <c r="H20" s="1052"/>
      <c r="I20" s="1052"/>
      <c r="J20" s="1052"/>
      <c r="K20" s="1052"/>
      <c r="L20" s="1052"/>
      <c r="M20" s="1052"/>
      <c r="N20" s="1052"/>
      <c r="O20" s="1052"/>
      <c r="P20" s="1052"/>
      <c r="Q20" s="1052"/>
      <c r="R20" s="1052"/>
      <c r="S20" s="1052"/>
      <c r="T20" s="1052"/>
      <c r="U20" s="1052"/>
      <c r="V20" s="1052"/>
      <c r="W20" s="1052"/>
      <c r="X20" s="1052"/>
      <c r="Y20" s="1052"/>
      <c r="Z20" s="1052"/>
      <c r="AA20" s="1052"/>
      <c r="AB20" s="1052"/>
      <c r="AC20" s="1052"/>
      <c r="AD20" s="1052"/>
      <c r="AE20" s="1488"/>
    </row>
    <row r="21" spans="1:31" s="436" customFormat="1" ht="18" customHeight="1">
      <c r="A21" s="424"/>
      <c r="B21" s="1820"/>
      <c r="C21" s="1052"/>
      <c r="D21" s="1052"/>
      <c r="E21" s="1052"/>
      <c r="F21" s="1000" t="s">
        <v>3707</v>
      </c>
      <c r="G21" s="1000"/>
      <c r="H21" s="1000"/>
      <c r="I21" s="1000"/>
      <c r="J21" s="1000"/>
      <c r="K21" s="1000"/>
      <c r="L21" s="1052"/>
      <c r="M21" s="1488"/>
      <c r="N21" s="1859"/>
      <c r="O21" s="1860"/>
      <c r="P21" s="1511"/>
      <c r="Q21" s="1512"/>
      <c r="R21" s="1000" t="s">
        <v>3708</v>
      </c>
      <c r="S21" s="1000"/>
      <c r="T21" s="1000"/>
      <c r="U21" s="1000"/>
      <c r="V21" s="1000"/>
      <c r="W21" s="1000"/>
      <c r="X21" s="1052"/>
      <c r="Y21" s="1488"/>
      <c r="Z21" s="1859"/>
      <c r="AA21" s="1860"/>
      <c r="AB21" s="1511"/>
      <c r="AC21" s="1512"/>
      <c r="AD21" s="1491"/>
      <c r="AE21" s="1488"/>
    </row>
    <row r="22" spans="1:31" s="436" customFormat="1" ht="5.0999999999999996" customHeight="1">
      <c r="A22" s="428"/>
      <c r="B22" s="429"/>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30"/>
    </row>
    <row r="23" spans="1:31" s="436" customFormat="1" ht="18" customHeight="1">
      <c r="A23" s="1821" t="s">
        <v>3643</v>
      </c>
      <c r="B23" s="1822"/>
      <c r="C23" s="1822"/>
      <c r="D23" s="1822"/>
      <c r="E23" s="1822"/>
      <c r="F23" s="1822"/>
      <c r="G23" s="1822"/>
      <c r="H23" s="1822"/>
      <c r="I23" s="1822"/>
      <c r="J23" s="1822"/>
      <c r="K23" s="1822"/>
      <c r="L23" s="1822"/>
      <c r="M23" s="1822"/>
      <c r="N23" s="1822"/>
      <c r="O23" s="1822"/>
      <c r="P23" s="1822"/>
      <c r="Q23" s="1822"/>
      <c r="R23" s="1822"/>
      <c r="S23" s="1822"/>
      <c r="T23" s="1822"/>
      <c r="U23" s="1822"/>
      <c r="V23" s="1822"/>
      <c r="W23" s="1822"/>
      <c r="X23" s="1822"/>
      <c r="Y23" s="1822"/>
      <c r="Z23" s="1822"/>
      <c r="AA23" s="1822"/>
      <c r="AB23" s="1822"/>
      <c r="AC23" s="1822"/>
      <c r="AD23" s="1822"/>
      <c r="AE23" s="1823"/>
    </row>
    <row r="24" spans="1:31" s="436" customFormat="1" ht="60" customHeight="1">
      <c r="A24" s="1831"/>
      <c r="B24" s="1052"/>
      <c r="C24" s="1052"/>
      <c r="D24" s="1052"/>
      <c r="E24" s="1052"/>
      <c r="F24" s="1052"/>
      <c r="G24" s="1052"/>
      <c r="H24" s="1052"/>
      <c r="I24" s="1052"/>
      <c r="J24" s="1052"/>
      <c r="K24" s="1052"/>
      <c r="L24" s="1052"/>
      <c r="M24" s="1052"/>
      <c r="N24" s="1052"/>
      <c r="O24" s="1052"/>
      <c r="P24" s="1052"/>
      <c r="Q24" s="1052"/>
      <c r="R24" s="1052"/>
      <c r="S24" s="1052"/>
      <c r="T24" s="1826"/>
      <c r="U24" s="1827"/>
      <c r="V24" s="1827"/>
      <c r="W24" s="1827"/>
      <c r="X24" s="1827"/>
      <c r="Y24" s="1827"/>
      <c r="Z24" s="1827"/>
      <c r="AA24" s="1827"/>
      <c r="AB24" s="1827"/>
      <c r="AC24" s="1827"/>
      <c r="AD24" s="1827"/>
      <c r="AE24" s="427"/>
    </row>
    <row r="25" spans="1:31" s="436" customFormat="1" ht="18" customHeight="1">
      <c r="A25" s="424"/>
      <c r="B25" s="432" t="s">
        <v>347</v>
      </c>
      <c r="C25" s="1824">
        <f ca="1">+TODAY()</f>
        <v>45664</v>
      </c>
      <c r="D25" s="1825"/>
      <c r="E25" s="1825"/>
      <c r="F25" s="1825"/>
      <c r="G25" s="1584"/>
      <c r="H25" s="1052"/>
      <c r="I25" s="1052"/>
      <c r="J25" s="1052"/>
      <c r="K25" s="1052"/>
      <c r="L25" s="1052"/>
      <c r="M25" s="1052"/>
      <c r="N25" s="1052"/>
      <c r="O25" s="1052"/>
      <c r="P25" s="1052"/>
      <c r="Q25" s="1052"/>
      <c r="R25" s="1052"/>
      <c r="S25" s="1052"/>
      <c r="T25" s="1828"/>
      <c r="U25" s="1828"/>
      <c r="V25" s="1828"/>
      <c r="W25" s="1828"/>
      <c r="X25" s="1828"/>
      <c r="Y25" s="1828"/>
      <c r="Z25" s="1828"/>
      <c r="AA25" s="1828"/>
      <c r="AB25" s="1828"/>
      <c r="AC25" s="1828"/>
      <c r="AD25" s="1828"/>
      <c r="AE25" s="427"/>
    </row>
    <row r="26" spans="1:31" s="436" customFormat="1">
      <c r="A26" s="424"/>
      <c r="B26" s="417"/>
      <c r="C26" s="417"/>
      <c r="D26" s="417"/>
      <c r="E26" s="417"/>
      <c r="F26" s="417"/>
      <c r="G26" s="417"/>
      <c r="H26" s="417"/>
      <c r="I26" s="417"/>
      <c r="J26" s="417"/>
      <c r="K26" s="417"/>
      <c r="L26" s="417"/>
      <c r="M26" s="417"/>
      <c r="N26" s="417"/>
      <c r="O26" s="417"/>
      <c r="P26" s="417"/>
      <c r="Q26" s="417"/>
      <c r="R26" s="417"/>
      <c r="S26" s="417"/>
      <c r="T26" s="1829" t="s">
        <v>349</v>
      </c>
      <c r="U26" s="1830"/>
      <c r="V26" s="1830"/>
      <c r="W26" s="1830"/>
      <c r="X26" s="1830"/>
      <c r="Y26" s="1830"/>
      <c r="Z26" s="1830"/>
      <c r="AA26" s="1830"/>
      <c r="AB26" s="1830"/>
      <c r="AC26" s="1830"/>
      <c r="AD26" s="1830"/>
      <c r="AE26" s="427"/>
    </row>
    <row r="27" spans="1:31" s="436" customFormat="1" ht="5.0999999999999996" customHeight="1">
      <c r="A27" s="428"/>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30"/>
    </row>
    <row r="28" spans="1:31" s="436" customFormat="1" ht="28.5" customHeight="1">
      <c r="A28" s="434"/>
      <c r="B28" s="1814" t="s">
        <v>3644</v>
      </c>
      <c r="C28" s="1815"/>
      <c r="D28" s="1815"/>
      <c r="E28" s="1815"/>
      <c r="F28" s="1815"/>
      <c r="G28" s="1815"/>
      <c r="H28" s="1815"/>
      <c r="I28" s="1815"/>
      <c r="J28" s="1815"/>
      <c r="K28" s="1815"/>
      <c r="L28" s="1815"/>
      <c r="M28" s="1815"/>
      <c r="N28" s="1815"/>
      <c r="O28" s="1815"/>
      <c r="P28" s="1815"/>
      <c r="Q28" s="1815"/>
      <c r="R28" s="1815"/>
      <c r="S28" s="1815"/>
      <c r="T28" s="1815"/>
      <c r="U28" s="1815"/>
      <c r="V28" s="1815"/>
      <c r="W28" s="1815"/>
      <c r="X28" s="1815"/>
      <c r="Y28" s="1815"/>
      <c r="Z28" s="1815"/>
      <c r="AA28" s="1815"/>
      <c r="AB28" s="1815"/>
      <c r="AC28" s="1815"/>
      <c r="AD28" s="1815"/>
      <c r="AE28" s="435"/>
    </row>
    <row r="29" spans="1:31" s="436" customFormat="1">
      <c r="A29" s="1816"/>
      <c r="B29" s="1503"/>
      <c r="C29" s="1503"/>
      <c r="D29" s="1503"/>
      <c r="E29" s="1503"/>
      <c r="F29" s="1503"/>
      <c r="G29" s="1503"/>
      <c r="H29" s="1503"/>
      <c r="I29" s="1503"/>
      <c r="J29" s="1503"/>
      <c r="K29" s="1503"/>
      <c r="L29" s="1503"/>
      <c r="M29" s="1503"/>
      <c r="N29" s="1503"/>
      <c r="O29" s="1503"/>
      <c r="P29" s="1503"/>
      <c r="Q29" s="1503"/>
      <c r="R29" s="1503"/>
      <c r="S29" s="1503"/>
      <c r="T29" s="1503"/>
      <c r="U29" s="1503"/>
      <c r="V29" s="1503"/>
      <c r="W29" s="1503"/>
      <c r="X29" s="1503"/>
      <c r="Y29" s="1503"/>
      <c r="Z29" s="1503"/>
      <c r="AA29" s="1817" t="s">
        <v>3651</v>
      </c>
      <c r="AB29" s="1818"/>
      <c r="AC29" s="1818"/>
      <c r="AD29" s="1818"/>
      <c r="AE29" s="1819"/>
    </row>
    <row r="30" spans="1:31" s="436" customFormat="1">
      <c r="A30" s="438"/>
      <c r="B30" s="438"/>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row>
    <row r="31" spans="1:31" s="436" customFormat="1">
      <c r="A31" s="438"/>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row>
    <row r="32" spans="1:31" s="436" customFormat="1">
      <c r="A32" s="438"/>
      <c r="B32" s="438"/>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row>
    <row r="33" spans="1:31" s="436" customFormat="1">
      <c r="A33" s="438"/>
      <c r="B33" s="438"/>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row>
    <row r="34" spans="1:31" s="436" customFormat="1">
      <c r="A34" s="438"/>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row>
    <row r="35" spans="1:31" s="436" customFormat="1">
      <c r="A35" s="438"/>
      <c r="B35" s="438"/>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row>
    <row r="36" spans="1:31" s="436" customFormat="1">
      <c r="A36" s="438"/>
      <c r="B36" s="438"/>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row>
    <row r="37" spans="1:31" s="436" customFormat="1">
      <c r="A37" s="438"/>
      <c r="B37" s="438"/>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row>
    <row r="38" spans="1:31" s="436" customFormat="1">
      <c r="A38" s="438"/>
      <c r="B38" s="438"/>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row>
    <row r="39" spans="1:31" s="436" customFormat="1">
      <c r="A39" s="438"/>
      <c r="B39" s="438"/>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row>
    <row r="40" spans="1:31" s="436" customFormat="1">
      <c r="A40" s="438"/>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row>
    <row r="41" spans="1:31" s="436" customFormat="1">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row>
    <row r="42" spans="1:31" s="436" customFormat="1">
      <c r="A42" s="438"/>
      <c r="B42" s="438"/>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row>
    <row r="43" spans="1:31" s="436" customFormat="1">
      <c r="A43" s="438"/>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row>
    <row r="44" spans="1:31" s="436" customFormat="1">
      <c r="A44" s="438"/>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row>
    <row r="45" spans="1:31" s="436" customFormat="1">
      <c r="A45" s="438"/>
      <c r="B45" s="438"/>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row>
    <row r="46" spans="1:31" s="436" customFormat="1"/>
    <row r="47" spans="1:31" s="436" customFormat="1"/>
    <row r="48" spans="1:31" s="436" customFormat="1"/>
    <row r="49" s="436" customFormat="1"/>
    <row r="50" s="436" customFormat="1"/>
    <row r="51" s="436" customFormat="1"/>
    <row r="52" s="436" customFormat="1"/>
    <row r="53" s="436" customFormat="1"/>
    <row r="54" s="436" customFormat="1"/>
    <row r="55" s="436" customFormat="1"/>
    <row r="56" s="436" customFormat="1"/>
    <row r="57" s="436" customFormat="1"/>
    <row r="58" s="436" customFormat="1"/>
    <row r="59" s="436" customFormat="1"/>
    <row r="60" s="436" customFormat="1"/>
    <row r="61" s="436" customFormat="1"/>
    <row r="62" s="436" customFormat="1"/>
    <row r="63" s="436" customFormat="1"/>
    <row r="64" s="436" customFormat="1"/>
    <row r="65" s="436" customFormat="1"/>
    <row r="66" s="436" customFormat="1"/>
    <row r="67" s="436" customFormat="1"/>
    <row r="68" s="436" customFormat="1"/>
    <row r="69" s="436" customFormat="1"/>
    <row r="70" s="436" customFormat="1"/>
    <row r="71" s="436" customFormat="1"/>
    <row r="72" s="436" customFormat="1"/>
    <row r="73" s="436" customFormat="1"/>
    <row r="74" s="436" customFormat="1"/>
    <row r="75" s="436" customFormat="1"/>
    <row r="76" s="436" customFormat="1"/>
    <row r="77" s="436" customFormat="1"/>
    <row r="78" s="436" customFormat="1"/>
    <row r="79" s="436" customFormat="1"/>
    <row r="80" s="436" customFormat="1"/>
    <row r="81" s="436" customFormat="1"/>
    <row r="82" s="436" customFormat="1"/>
    <row r="83" s="436" customFormat="1"/>
    <row r="84" s="436" customFormat="1"/>
    <row r="85" s="436" customFormat="1"/>
    <row r="86" s="436" customFormat="1"/>
    <row r="87" s="436" customFormat="1"/>
    <row r="88" s="436" customFormat="1"/>
    <row r="89" s="436" customFormat="1"/>
    <row r="90" s="436" customFormat="1"/>
    <row r="91" s="436" customFormat="1"/>
    <row r="92" s="436" customFormat="1"/>
    <row r="93" s="436" customFormat="1"/>
    <row r="94" s="436" customFormat="1"/>
    <row r="95" s="436" customFormat="1"/>
    <row r="96" s="436" customFormat="1"/>
    <row r="97" spans="1:31" s="436" customFormat="1"/>
    <row r="98" spans="1:31" s="436" customFormat="1"/>
    <row r="99" spans="1:31" s="436" customFormat="1"/>
    <row r="100" spans="1:31" s="436" customFormat="1"/>
    <row r="101" spans="1:31" s="436" customFormat="1">
      <c r="A101" s="423"/>
      <c r="B101" s="423"/>
      <c r="C101" s="423"/>
      <c r="D101" s="423"/>
      <c r="E101" s="42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row>
  </sheetData>
  <sheetProtection password="EF65" sheet="1" objects="1" scenarios="1"/>
  <mergeCells count="45">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 ref="A11:AE11"/>
    <mergeCell ref="D12:I12"/>
    <mergeCell ref="K12:P12"/>
    <mergeCell ref="R12:W12"/>
    <mergeCell ref="Y12:AD12"/>
    <mergeCell ref="B17:AD17"/>
    <mergeCell ref="B18:AD18"/>
    <mergeCell ref="D13:I13"/>
    <mergeCell ref="K13:P13"/>
    <mergeCell ref="R13:W13"/>
    <mergeCell ref="Y13:AD13"/>
    <mergeCell ref="A15:AE15"/>
    <mergeCell ref="B16:AD16"/>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s>
  <pageMargins left="0.19685039370078741" right="0.19685039370078741" top="0.39370078740157483" bottom="0.39370078740157483" header="0.31496062992125984" footer="0.31496062992125984"/>
  <pageSetup paperSize="9" scale="7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6">
    <tabColor rgb="FFFFFF99"/>
    <pageSetUpPr fitToPage="1"/>
  </sheetPr>
  <dimension ref="A1:BA470"/>
  <sheetViews>
    <sheetView workbookViewId="0">
      <selection activeCell="B10" sqref="B10:I10"/>
    </sheetView>
  </sheetViews>
  <sheetFormatPr defaultRowHeight="12"/>
  <cols>
    <col min="1" max="6" width="9.140625" style="473"/>
    <col min="7" max="7" width="9.85546875" style="473" customWidth="1"/>
    <col min="8" max="8" width="9.140625" style="473"/>
    <col min="9" max="9" width="12.28515625" style="473" customWidth="1"/>
    <col min="10" max="53" width="9.140625" style="472"/>
    <col min="54" max="16384" width="9.140625" style="473"/>
  </cols>
  <sheetData>
    <row r="1" spans="1:53" ht="15.75" customHeight="1">
      <c r="A1" s="1887" t="s">
        <v>3686</v>
      </c>
      <c r="B1" s="1887"/>
      <c r="C1" s="1887"/>
      <c r="D1" s="1887"/>
      <c r="E1" s="1887"/>
      <c r="F1" s="1887"/>
      <c r="G1" s="1887"/>
      <c r="H1" s="1887"/>
      <c r="I1" s="1887"/>
    </row>
    <row r="2" spans="1:53">
      <c r="A2" s="1887"/>
      <c r="B2" s="1887"/>
      <c r="C2" s="1887"/>
      <c r="D2" s="1887"/>
      <c r="E2" s="1887"/>
      <c r="F2" s="1887"/>
      <c r="G2" s="1887"/>
      <c r="H2" s="1887"/>
      <c r="I2" s="1887"/>
    </row>
    <row r="3" spans="1:53" ht="15" customHeight="1">
      <c r="A3" s="1865" t="s">
        <v>3687</v>
      </c>
      <c r="B3" s="1865"/>
      <c r="C3" s="1865"/>
      <c r="D3" s="1865"/>
      <c r="E3" s="1865"/>
      <c r="F3" s="1865"/>
      <c r="G3" s="1865"/>
      <c r="H3" s="1865"/>
      <c r="I3" s="1865"/>
    </row>
    <row r="4" spans="1:53" ht="18" customHeight="1">
      <c r="A4" s="1888"/>
      <c r="B4" s="1889"/>
      <c r="C4" s="1889"/>
      <c r="D4" s="1889"/>
      <c r="E4" s="1889"/>
      <c r="F4" s="1889"/>
      <c r="G4" s="1889"/>
      <c r="H4" s="1889"/>
      <c r="I4" s="1889"/>
    </row>
    <row r="5" spans="1:53" ht="15" customHeight="1">
      <c r="A5" s="1890" t="s">
        <v>3688</v>
      </c>
      <c r="B5" s="1890"/>
      <c r="C5" s="1890"/>
      <c r="D5" s="1890"/>
      <c r="E5" s="1890"/>
      <c r="F5" s="1890"/>
      <c r="G5" s="1890"/>
      <c r="H5" s="1890"/>
      <c r="I5" s="1890"/>
    </row>
    <row r="6" spans="1:53" ht="18" customHeight="1">
      <c r="A6" s="1891"/>
      <c r="B6" s="1892"/>
      <c r="C6" s="1892"/>
      <c r="D6" s="1892"/>
      <c r="E6" s="1892"/>
      <c r="F6" s="1865" t="s">
        <v>3689</v>
      </c>
      <c r="G6" s="1893"/>
      <c r="H6" s="1894"/>
      <c r="I6" s="1895"/>
    </row>
    <row r="7" spans="1:53" ht="15" customHeight="1">
      <c r="A7" s="1865"/>
      <c r="B7" s="1865"/>
      <c r="C7" s="1865"/>
      <c r="D7" s="1865"/>
      <c r="E7" s="1865"/>
      <c r="F7" s="1865"/>
      <c r="G7" s="1865"/>
      <c r="H7" s="1865"/>
      <c r="I7" s="1865"/>
    </row>
    <row r="8" spans="1:53" ht="18" customHeight="1">
      <c r="A8" s="1868" t="s">
        <v>3690</v>
      </c>
      <c r="B8" s="1868"/>
      <c r="C8" s="1879" t="str">
        <f>+CONCATENATE(ZAKL_DATA!B4," ",ZAKL_DATA!B5)</f>
        <v xml:space="preserve"> </v>
      </c>
      <c r="D8" s="1879"/>
      <c r="E8" s="1879"/>
      <c r="F8" s="1880"/>
      <c r="G8" s="474" t="s">
        <v>3691</v>
      </c>
      <c r="H8" s="1881" t="str">
        <f>+'DAP1'!A9</f>
        <v/>
      </c>
      <c r="I8" s="1882"/>
    </row>
    <row r="9" spans="1:53" ht="15" customHeight="1">
      <c r="A9" s="1865"/>
      <c r="B9" s="1865"/>
      <c r="C9" s="1871" t="s">
        <v>3692</v>
      </c>
      <c r="D9" s="1871"/>
      <c r="E9" s="1871"/>
      <c r="F9" s="1883"/>
      <c r="G9" s="1865"/>
      <c r="H9" s="1884"/>
      <c r="I9" s="1884"/>
    </row>
    <row r="10" spans="1:53" s="477" customFormat="1" ht="18" customHeight="1">
      <c r="A10" s="475" t="s">
        <v>3693</v>
      </c>
      <c r="B10" s="1885" t="str">
        <f>+Prohl_manž!B7</f>
        <v xml:space="preserve"> , , PSČ </v>
      </c>
      <c r="C10" s="1885"/>
      <c r="D10" s="1885"/>
      <c r="E10" s="1885"/>
      <c r="F10" s="1885"/>
      <c r="G10" s="1885"/>
      <c r="H10" s="1885"/>
      <c r="I10" s="1885"/>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6"/>
      <c r="AY10" s="476"/>
      <c r="AZ10" s="476"/>
      <c r="BA10" s="476"/>
    </row>
    <row r="11" spans="1:53" ht="15" customHeight="1">
      <c r="A11" s="1865"/>
      <c r="B11" s="1865"/>
      <c r="C11" s="1865"/>
      <c r="D11" s="1865"/>
      <c r="E11" s="1865"/>
      <c r="F11" s="1865"/>
      <c r="G11" s="1865"/>
      <c r="H11" s="1865"/>
      <c r="I11" s="1865"/>
    </row>
    <row r="12" spans="1:53" s="477" customFormat="1" ht="18" customHeight="1">
      <c r="A12" s="1868" t="s">
        <v>3694</v>
      </c>
      <c r="B12" s="1868"/>
      <c r="C12" s="1868"/>
      <c r="D12" s="1886">
        <f>+'DAP1'!F24</f>
        <v>2024</v>
      </c>
      <c r="E12" s="1886"/>
      <c r="F12" s="1868" t="s">
        <v>3695</v>
      </c>
      <c r="G12" s="1868"/>
      <c r="H12" s="1868"/>
      <c r="I12" s="1868"/>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c r="AZ12" s="476"/>
      <c r="BA12" s="476"/>
    </row>
    <row r="13" spans="1:53" s="477" customFormat="1" ht="18" customHeight="1">
      <c r="A13" s="1877" t="s">
        <v>3696</v>
      </c>
      <c r="B13" s="1877"/>
      <c r="C13" s="1877"/>
      <c r="D13" s="1877"/>
      <c r="E13" s="1877"/>
      <c r="F13" s="1877"/>
      <c r="G13" s="1878" t="s">
        <v>3697</v>
      </c>
      <c r="H13" s="1878"/>
      <c r="I13" s="1878"/>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row>
    <row r="14" spans="1:53" s="477" customFormat="1" ht="18" customHeight="1">
      <c r="A14" s="1868" t="s">
        <v>3698</v>
      </c>
      <c r="B14" s="1868"/>
      <c r="C14" s="1868"/>
      <c r="D14" s="1868"/>
      <c r="E14" s="1868"/>
      <c r="F14" s="1868"/>
      <c r="G14" s="1868"/>
      <c r="H14" s="1868"/>
      <c r="I14" s="1868"/>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row>
    <row r="15" spans="1:53" s="480" customFormat="1" ht="18" customHeight="1">
      <c r="A15" s="1872">
        <f>+'DAP2'!E4</f>
        <v>0</v>
      </c>
      <c r="B15" s="1872"/>
      <c r="C15" s="1872"/>
      <c r="D15" s="478" t="s">
        <v>3699</v>
      </c>
      <c r="E15" s="1873"/>
      <c r="F15" s="1873"/>
      <c r="G15" s="1873"/>
      <c r="H15" s="1873"/>
      <c r="I15" s="1873"/>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row>
    <row r="16" spans="1:53" ht="15" customHeight="1">
      <c r="A16" s="1874"/>
      <c r="B16" s="1874"/>
      <c r="C16" s="1874"/>
      <c r="D16" s="1874"/>
      <c r="E16" s="1874"/>
      <c r="F16" s="1874"/>
      <c r="G16" s="1874"/>
      <c r="H16" s="1874"/>
      <c r="I16" s="1874"/>
    </row>
    <row r="17" spans="1:53" ht="15" customHeight="1">
      <c r="A17" s="1874"/>
      <c r="B17" s="1874"/>
      <c r="C17" s="1874"/>
      <c r="D17" s="1874"/>
      <c r="E17" s="1874"/>
      <c r="F17" s="1874"/>
      <c r="G17" s="1874"/>
      <c r="H17" s="1874"/>
      <c r="I17" s="1874"/>
    </row>
    <row r="18" spans="1:53" ht="15" customHeight="1">
      <c r="A18" s="1874"/>
      <c r="B18" s="1874"/>
      <c r="C18" s="1874"/>
      <c r="D18" s="1874"/>
      <c r="E18" s="1874"/>
      <c r="F18" s="1874"/>
      <c r="G18" s="1874"/>
      <c r="H18" s="1874"/>
      <c r="I18" s="1874"/>
    </row>
    <row r="19" spans="1:53" ht="15" customHeight="1">
      <c r="A19" s="1874"/>
      <c r="B19" s="1874"/>
      <c r="C19" s="1874"/>
      <c r="D19" s="1874"/>
      <c r="E19" s="1874"/>
      <c r="F19" s="1874"/>
      <c r="G19" s="1874"/>
      <c r="H19" s="1874"/>
      <c r="I19" s="1874"/>
    </row>
    <row r="20" spans="1:53" s="477" customFormat="1" ht="15" customHeight="1">
      <c r="A20" s="475" t="s">
        <v>3700</v>
      </c>
      <c r="B20" s="1875">
        <f ca="1">TODAY()</f>
        <v>45664</v>
      </c>
      <c r="C20" s="1875"/>
      <c r="D20" s="1876"/>
      <c r="E20" s="1876"/>
      <c r="F20" s="1876"/>
      <c r="G20" s="1876"/>
      <c r="H20" s="1876"/>
      <c r="I20" s="18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6"/>
      <c r="AK20" s="476"/>
      <c r="AL20" s="476"/>
      <c r="AM20" s="476"/>
      <c r="AN20" s="476"/>
      <c r="AO20" s="476"/>
      <c r="AP20" s="476"/>
      <c r="AQ20" s="476"/>
      <c r="AR20" s="476"/>
      <c r="AS20" s="476"/>
      <c r="AT20" s="476"/>
      <c r="AU20" s="476"/>
      <c r="AV20" s="476"/>
      <c r="AW20" s="476"/>
      <c r="AX20" s="476"/>
      <c r="AY20" s="476"/>
      <c r="AZ20" s="476"/>
      <c r="BA20" s="476"/>
    </row>
    <row r="21" spans="1:53" ht="15" customHeight="1">
      <c r="A21" s="1867" t="s">
        <v>3701</v>
      </c>
      <c r="B21" s="1867"/>
      <c r="C21" s="1867"/>
      <c r="D21" s="1867"/>
      <c r="E21" s="1867"/>
      <c r="F21" s="1867"/>
      <c r="G21" s="1867"/>
      <c r="H21" s="1867"/>
      <c r="I21" s="1867"/>
    </row>
    <row r="22" spans="1:53" ht="15" customHeight="1">
      <c r="A22" s="1865"/>
      <c r="B22" s="1865"/>
      <c r="C22" s="1865"/>
      <c r="D22" s="1865"/>
      <c r="E22" s="1865"/>
      <c r="F22" s="1865"/>
      <c r="G22" s="1865"/>
      <c r="H22" s="1865"/>
      <c r="I22" s="1865"/>
    </row>
    <row r="23" spans="1:53" s="477" customFormat="1" ht="15" customHeight="1">
      <c r="A23" s="1868" t="s">
        <v>3702</v>
      </c>
      <c r="B23" s="1868"/>
      <c r="C23" s="1868"/>
      <c r="D23" s="1869"/>
      <c r="E23" s="1869"/>
      <c r="F23" s="1869"/>
      <c r="G23" s="481" t="s">
        <v>3703</v>
      </c>
      <c r="H23" s="1870"/>
      <c r="I23" s="1870"/>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6"/>
      <c r="AQ23" s="476"/>
      <c r="AR23" s="476"/>
      <c r="AS23" s="476"/>
      <c r="AT23" s="476"/>
      <c r="AU23" s="476"/>
      <c r="AV23" s="476"/>
      <c r="AW23" s="476"/>
      <c r="AX23" s="476"/>
      <c r="AY23" s="476"/>
      <c r="AZ23" s="476"/>
      <c r="BA23" s="476"/>
    </row>
    <row r="24" spans="1:53" ht="15" customHeight="1">
      <c r="A24" s="1865"/>
      <c r="B24" s="1865"/>
      <c r="C24" s="1865"/>
      <c r="D24" s="1871" t="s">
        <v>3692</v>
      </c>
      <c r="E24" s="1871"/>
      <c r="F24" s="1871"/>
      <c r="G24" s="1865"/>
      <c r="H24" s="1865"/>
      <c r="I24" s="1865"/>
    </row>
    <row r="25" spans="1:53">
      <c r="A25" s="1865"/>
      <c r="B25" s="1865"/>
      <c r="C25" s="1865"/>
      <c r="D25" s="1865"/>
      <c r="E25" s="1865"/>
      <c r="F25" s="1865"/>
      <c r="G25" s="1865"/>
      <c r="H25" s="1865"/>
      <c r="I25" s="1865"/>
    </row>
    <row r="26" spans="1:53">
      <c r="A26" s="1865"/>
      <c r="B26" s="1865"/>
      <c r="C26" s="1865"/>
      <c r="D26" s="1865"/>
      <c r="E26" s="1865"/>
      <c r="F26" s="1865"/>
      <c r="G26" s="1865"/>
      <c r="H26" s="1865"/>
      <c r="I26" s="1865"/>
    </row>
    <row r="27" spans="1:53">
      <c r="A27" s="1865"/>
      <c r="B27" s="1865"/>
      <c r="C27" s="1865"/>
      <c r="D27" s="1865"/>
      <c r="E27" s="1865"/>
      <c r="F27" s="1865"/>
      <c r="G27" s="1865"/>
      <c r="H27" s="1865"/>
      <c r="I27" s="1865"/>
    </row>
    <row r="28" spans="1:53">
      <c r="A28" s="1865"/>
      <c r="B28" s="1865"/>
      <c r="C28" s="1865"/>
      <c r="D28" s="1865"/>
      <c r="E28" s="1865"/>
      <c r="F28" s="1865"/>
      <c r="G28" s="1865"/>
      <c r="H28" s="1865"/>
      <c r="I28" s="1865"/>
    </row>
    <row r="29" spans="1:53">
      <c r="A29" s="1865"/>
      <c r="B29" s="1865"/>
      <c r="C29" s="1865"/>
      <c r="D29" s="1865"/>
      <c r="E29" s="1865"/>
      <c r="F29" s="1865"/>
      <c r="G29" s="1865"/>
      <c r="H29" s="1865"/>
      <c r="I29" s="1865"/>
    </row>
    <row r="30" spans="1:53">
      <c r="A30" s="1865"/>
      <c r="B30" s="1865"/>
      <c r="C30" s="1865"/>
      <c r="D30" s="1865"/>
      <c r="E30" s="1865"/>
      <c r="F30" s="1865"/>
      <c r="G30" s="1865"/>
      <c r="H30" s="1865"/>
      <c r="I30" s="1865"/>
    </row>
    <row r="31" spans="1:53">
      <c r="A31" s="1865"/>
      <c r="B31" s="1865"/>
      <c r="C31" s="1865"/>
      <c r="D31" s="1865"/>
      <c r="E31" s="1865"/>
      <c r="F31" s="1865"/>
      <c r="G31" s="1865"/>
      <c r="H31" s="1865"/>
      <c r="I31" s="1865"/>
    </row>
    <row r="32" spans="1:53">
      <c r="A32" s="1865"/>
      <c r="B32" s="1865"/>
      <c r="C32" s="1865"/>
      <c r="D32" s="1865"/>
      <c r="E32" s="1865"/>
      <c r="F32" s="1865"/>
      <c r="G32" s="1865"/>
      <c r="H32" s="1865"/>
      <c r="I32" s="1865"/>
    </row>
    <row r="33" spans="1:9">
      <c r="A33" s="1865"/>
      <c r="B33" s="1865"/>
      <c r="C33" s="1865"/>
      <c r="D33" s="1865"/>
      <c r="E33" s="1865"/>
      <c r="F33" s="1865"/>
      <c r="G33" s="1865"/>
      <c r="H33" s="1865"/>
      <c r="I33" s="1865"/>
    </row>
    <row r="34" spans="1:9">
      <c r="A34" s="1865"/>
      <c r="B34" s="1865"/>
      <c r="C34" s="1865"/>
      <c r="D34" s="1865"/>
      <c r="E34" s="1865"/>
      <c r="F34" s="1865"/>
      <c r="G34" s="1865"/>
      <c r="H34" s="1865"/>
      <c r="I34" s="1865"/>
    </row>
    <row r="35" spans="1:9">
      <c r="A35" s="1865"/>
      <c r="B35" s="1865"/>
      <c r="C35" s="1865"/>
      <c r="D35" s="1865"/>
      <c r="E35" s="1865"/>
      <c r="F35" s="1865"/>
      <c r="G35" s="1865"/>
      <c r="H35" s="1865"/>
      <c r="I35" s="1865"/>
    </row>
    <row r="36" spans="1:9">
      <c r="A36" s="1865"/>
      <c r="B36" s="1865"/>
      <c r="C36" s="1865"/>
      <c r="D36" s="1865"/>
      <c r="E36" s="1865"/>
      <c r="F36" s="1865"/>
      <c r="G36" s="1865"/>
      <c r="H36" s="1865"/>
      <c r="I36" s="1865"/>
    </row>
    <row r="37" spans="1:9">
      <c r="A37" s="1865"/>
      <c r="B37" s="1865"/>
      <c r="C37" s="1865"/>
      <c r="D37" s="1865"/>
      <c r="E37" s="1865"/>
      <c r="F37" s="1865"/>
      <c r="G37" s="1865"/>
      <c r="H37" s="1865"/>
      <c r="I37" s="1865"/>
    </row>
    <row r="38" spans="1:9">
      <c r="A38" s="1865"/>
      <c r="B38" s="1865"/>
      <c r="C38" s="1865"/>
      <c r="D38" s="1865"/>
      <c r="E38" s="1865"/>
      <c r="F38" s="1865"/>
      <c r="G38" s="1865"/>
      <c r="H38" s="1865"/>
      <c r="I38" s="1865"/>
    </row>
    <row r="39" spans="1:9">
      <c r="A39" s="1865"/>
      <c r="B39" s="1865"/>
      <c r="C39" s="1865"/>
      <c r="D39" s="1865"/>
      <c r="E39" s="1865"/>
      <c r="F39" s="1865"/>
      <c r="G39" s="1865"/>
      <c r="H39" s="1865"/>
      <c r="I39" s="1865"/>
    </row>
    <row r="40" spans="1:9">
      <c r="A40" s="1865"/>
      <c r="B40" s="1865"/>
      <c r="C40" s="1865"/>
      <c r="D40" s="1865"/>
      <c r="E40" s="1865"/>
      <c r="F40" s="1865"/>
      <c r="G40" s="1865"/>
      <c r="H40" s="1865"/>
      <c r="I40" s="1865"/>
    </row>
    <row r="41" spans="1:9">
      <c r="A41" s="1865"/>
      <c r="B41" s="1865"/>
      <c r="C41" s="1865"/>
      <c r="D41" s="1865"/>
      <c r="E41" s="1865"/>
      <c r="F41" s="1865"/>
      <c r="G41" s="1865"/>
      <c r="H41" s="1865"/>
      <c r="I41" s="1865"/>
    </row>
    <row r="42" spans="1:9">
      <c r="A42" s="1865"/>
      <c r="B42" s="1865"/>
      <c r="C42" s="1865"/>
      <c r="D42" s="1865"/>
      <c r="E42" s="1865"/>
      <c r="F42" s="1865"/>
      <c r="G42" s="1865"/>
      <c r="H42" s="1865"/>
      <c r="I42" s="1865"/>
    </row>
    <row r="43" spans="1:9">
      <c r="A43" s="1865"/>
      <c r="B43" s="1865"/>
      <c r="C43" s="1865"/>
      <c r="D43" s="1865"/>
      <c r="E43" s="1865"/>
      <c r="F43" s="1865"/>
      <c r="G43" s="1865"/>
      <c r="H43" s="1865"/>
      <c r="I43" s="1865"/>
    </row>
    <row r="44" spans="1:9">
      <c r="A44" s="1865"/>
      <c r="B44" s="1865"/>
      <c r="C44" s="1865"/>
      <c r="D44" s="1865"/>
      <c r="E44" s="1865"/>
      <c r="F44" s="1865"/>
      <c r="G44" s="1865"/>
      <c r="H44" s="1865"/>
      <c r="I44" s="1865"/>
    </row>
    <row r="45" spans="1:9">
      <c r="A45" s="1865"/>
      <c r="B45" s="1865"/>
      <c r="C45" s="1865"/>
      <c r="D45" s="1865"/>
      <c r="E45" s="1865"/>
      <c r="F45" s="1865"/>
      <c r="G45" s="1865"/>
      <c r="H45" s="1865"/>
      <c r="I45" s="1865"/>
    </row>
    <row r="46" spans="1:9">
      <c r="A46" s="1865"/>
      <c r="B46" s="1865"/>
      <c r="C46" s="1865"/>
      <c r="D46" s="1865"/>
      <c r="E46" s="1865"/>
      <c r="F46" s="1865"/>
      <c r="G46" s="1865"/>
      <c r="H46" s="1865"/>
      <c r="I46" s="1865"/>
    </row>
    <row r="47" spans="1:9">
      <c r="A47" s="1865"/>
      <c r="B47" s="1865"/>
      <c r="C47" s="1865"/>
      <c r="D47" s="1865"/>
      <c r="E47" s="1865"/>
      <c r="F47" s="1865"/>
      <c r="G47" s="1865"/>
      <c r="H47" s="1865"/>
      <c r="I47" s="1865"/>
    </row>
    <row r="48" spans="1:9">
      <c r="A48" s="1865"/>
      <c r="B48" s="1865"/>
      <c r="C48" s="1865"/>
      <c r="D48" s="1865"/>
      <c r="E48" s="1865"/>
      <c r="F48" s="1865"/>
      <c r="G48" s="1865"/>
      <c r="H48" s="1865"/>
      <c r="I48" s="1865"/>
    </row>
    <row r="49" spans="1:9">
      <c r="A49" s="1865"/>
      <c r="B49" s="1865"/>
      <c r="C49" s="1865"/>
      <c r="D49" s="1865"/>
      <c r="E49" s="1865"/>
      <c r="F49" s="1865"/>
      <c r="G49" s="1865"/>
      <c r="H49" s="1865"/>
      <c r="I49" s="1865"/>
    </row>
    <row r="50" spans="1:9">
      <c r="A50" s="1865"/>
      <c r="B50" s="1865"/>
      <c r="C50" s="1865"/>
      <c r="D50" s="1865"/>
      <c r="E50" s="1865"/>
      <c r="F50" s="1865"/>
      <c r="G50" s="1865"/>
      <c r="H50" s="1865"/>
      <c r="I50" s="1865"/>
    </row>
    <row r="51" spans="1:9">
      <c r="A51" s="1865"/>
      <c r="B51" s="1865"/>
      <c r="C51" s="1865"/>
      <c r="D51" s="1865"/>
      <c r="E51" s="1865"/>
      <c r="F51" s="1865"/>
      <c r="G51" s="1865"/>
      <c r="H51" s="1865"/>
      <c r="I51" s="1865"/>
    </row>
    <row r="52" spans="1:9">
      <c r="A52" s="482" t="s">
        <v>3704</v>
      </c>
      <c r="B52" s="482"/>
      <c r="C52" s="482"/>
      <c r="D52" s="482"/>
      <c r="E52" s="482"/>
      <c r="F52" s="482"/>
      <c r="G52" s="482"/>
      <c r="H52" s="482"/>
      <c r="I52" s="482"/>
    </row>
    <row r="53" spans="1:9" ht="38.25" customHeight="1">
      <c r="A53" s="1866" t="s">
        <v>3705</v>
      </c>
      <c r="B53" s="1866"/>
      <c r="C53" s="1866"/>
      <c r="D53" s="1866"/>
      <c r="E53" s="1866"/>
      <c r="F53" s="1866"/>
      <c r="G53" s="1866"/>
      <c r="H53" s="1866"/>
      <c r="I53" s="1866"/>
    </row>
    <row r="54" spans="1:9" s="472" customFormat="1"/>
    <row r="55" spans="1:9" s="472" customFormat="1"/>
    <row r="56" spans="1:9" s="472" customFormat="1"/>
    <row r="57" spans="1:9" s="472" customFormat="1"/>
    <row r="58" spans="1:9" s="472" customFormat="1"/>
    <row r="59" spans="1:9" s="472" customFormat="1"/>
    <row r="60" spans="1:9" s="472" customFormat="1"/>
    <row r="61" spans="1:9" s="472" customFormat="1"/>
    <row r="62" spans="1:9" s="472" customFormat="1"/>
    <row r="63" spans="1:9" s="472" customFormat="1"/>
    <row r="64" spans="1:9" s="472" customFormat="1"/>
    <row r="65" s="472" customFormat="1"/>
    <row r="66" s="472" customFormat="1"/>
    <row r="67" s="472" customFormat="1"/>
    <row r="68" s="472" customFormat="1"/>
    <row r="69" s="472" customFormat="1"/>
    <row r="70" s="472" customFormat="1"/>
    <row r="71" s="472" customFormat="1"/>
    <row r="72" s="472" customFormat="1"/>
    <row r="73" s="472" customFormat="1"/>
    <row r="74" s="472" customFormat="1"/>
    <row r="75" s="472" customFormat="1"/>
    <row r="76" s="472" customFormat="1"/>
    <row r="77" s="472" customFormat="1"/>
    <row r="78" s="472" customFormat="1"/>
    <row r="79" s="472" customFormat="1"/>
    <row r="80" s="472" customFormat="1"/>
    <row r="81" s="472" customFormat="1"/>
    <row r="82" s="472" customFormat="1"/>
    <row r="83" s="472" customFormat="1"/>
    <row r="84" s="472" customFormat="1"/>
    <row r="85" s="472" customFormat="1"/>
    <row r="86" s="472" customFormat="1"/>
    <row r="87" s="472" customFormat="1"/>
    <row r="88" s="472" customFormat="1"/>
    <row r="89" s="472" customFormat="1"/>
    <row r="90" s="472" customFormat="1"/>
    <row r="91" s="472" customFormat="1"/>
    <row r="92" s="472" customFormat="1"/>
    <row r="93" s="472" customFormat="1"/>
    <row r="94" s="472" customFormat="1"/>
    <row r="95" s="472" customFormat="1"/>
    <row r="96" s="472" customFormat="1"/>
    <row r="97" s="472" customFormat="1"/>
    <row r="98" s="472" customFormat="1"/>
    <row r="99" s="472" customFormat="1"/>
    <row r="100" s="472" customFormat="1"/>
    <row r="101" s="472" customFormat="1"/>
    <row r="102" s="472" customFormat="1"/>
    <row r="103" s="472" customFormat="1"/>
    <row r="104" s="472" customFormat="1"/>
    <row r="105" s="472" customFormat="1"/>
    <row r="106" s="472" customFormat="1"/>
    <row r="107" s="472" customFormat="1"/>
    <row r="108" s="472" customFormat="1"/>
    <row r="109" s="472" customFormat="1"/>
    <row r="110" s="472" customFormat="1"/>
    <row r="111" s="472" customFormat="1"/>
    <row r="112" s="472" customFormat="1"/>
    <row r="113" s="472" customFormat="1"/>
    <row r="114" s="472" customFormat="1"/>
    <row r="115" s="472" customFormat="1"/>
    <row r="116" s="472" customFormat="1"/>
    <row r="117" s="472" customFormat="1"/>
    <row r="118" s="472" customFormat="1"/>
    <row r="119" s="472" customFormat="1"/>
    <row r="120" s="472" customFormat="1"/>
    <row r="121" s="472" customFormat="1"/>
    <row r="122" s="472" customFormat="1"/>
    <row r="123" s="472" customFormat="1"/>
    <row r="124" s="472" customFormat="1"/>
    <row r="125" s="472" customFormat="1"/>
    <row r="126" s="472" customFormat="1"/>
    <row r="127" s="472" customFormat="1"/>
    <row r="128" s="472" customFormat="1"/>
    <row r="129" s="472" customFormat="1"/>
    <row r="130" s="472" customFormat="1"/>
    <row r="131" s="472" customFormat="1"/>
    <row r="132" s="472" customFormat="1"/>
    <row r="133" s="472" customFormat="1"/>
    <row r="134" s="472" customFormat="1"/>
    <row r="135" s="472" customFormat="1"/>
    <row r="136" s="472" customFormat="1"/>
    <row r="137" s="472" customFormat="1"/>
    <row r="138" s="472" customFormat="1"/>
    <row r="139" s="472" customFormat="1"/>
    <row r="140" s="472" customFormat="1"/>
    <row r="141" s="472" customFormat="1"/>
    <row r="142" s="472" customFormat="1"/>
    <row r="143" s="472" customFormat="1"/>
    <row r="144" s="472" customFormat="1"/>
    <row r="145" s="472" customFormat="1"/>
    <row r="146" s="472" customFormat="1"/>
    <row r="147" s="472" customFormat="1"/>
    <row r="148" s="472" customFormat="1"/>
    <row r="149" s="472" customFormat="1"/>
    <row r="150" s="472" customFormat="1"/>
    <row r="151" s="472" customFormat="1"/>
    <row r="152" s="472" customFormat="1"/>
    <row r="153" s="472" customFormat="1"/>
    <row r="154" s="472" customFormat="1"/>
    <row r="155" s="472" customFormat="1"/>
    <row r="156" s="472" customFormat="1"/>
    <row r="157" s="472" customFormat="1"/>
    <row r="158" s="472" customFormat="1"/>
    <row r="159" s="472" customFormat="1"/>
    <row r="160" s="472" customFormat="1"/>
    <row r="161" s="472" customFormat="1"/>
    <row r="162" s="472" customFormat="1"/>
    <row r="163" s="472" customFormat="1"/>
    <row r="164" s="472" customFormat="1"/>
    <row r="165" s="472" customFormat="1"/>
    <row r="166" s="472" customFormat="1"/>
    <row r="167" s="472" customFormat="1"/>
    <row r="168" s="472" customFormat="1"/>
    <row r="169" s="472" customFormat="1"/>
    <row r="170" s="472" customFormat="1"/>
    <row r="171" s="472" customFormat="1"/>
    <row r="172" s="472" customFormat="1"/>
    <row r="173" s="472" customFormat="1"/>
    <row r="174" s="472" customFormat="1"/>
    <row r="175" s="472" customFormat="1"/>
    <row r="176" s="472" customFormat="1"/>
    <row r="177" s="472" customFormat="1"/>
    <row r="178" s="472" customFormat="1"/>
    <row r="179" s="472" customFormat="1"/>
    <row r="180" s="472" customFormat="1"/>
    <row r="181" s="472" customFormat="1"/>
    <row r="182" s="472" customFormat="1"/>
    <row r="183" s="472" customFormat="1"/>
    <row r="184" s="472" customFormat="1"/>
    <row r="185" s="472" customFormat="1"/>
    <row r="186" s="472" customFormat="1"/>
    <row r="187" s="472" customFormat="1"/>
    <row r="188" s="472" customFormat="1"/>
    <row r="189" s="472" customFormat="1"/>
    <row r="190" s="472" customFormat="1"/>
    <row r="191" s="472" customFormat="1"/>
    <row r="192" s="472" customFormat="1"/>
    <row r="193" s="472" customFormat="1"/>
    <row r="194" s="472" customFormat="1"/>
    <row r="195" s="472" customFormat="1"/>
    <row r="196" s="472" customFormat="1"/>
    <row r="197" s="472" customFormat="1"/>
    <row r="198" s="472" customFormat="1"/>
    <row r="199" s="472" customFormat="1"/>
    <row r="200" s="472" customFormat="1"/>
    <row r="201" s="472" customFormat="1"/>
    <row r="202" s="472" customFormat="1"/>
    <row r="203" s="472" customFormat="1"/>
    <row r="204" s="472" customFormat="1"/>
    <row r="205" s="472" customFormat="1"/>
    <row r="206" s="472" customFormat="1"/>
    <row r="207" s="472" customFormat="1"/>
    <row r="208" s="472" customFormat="1"/>
    <row r="209" s="472" customFormat="1"/>
    <row r="210" s="472" customFormat="1"/>
    <row r="211" s="472" customFormat="1"/>
    <row r="212" s="472" customFormat="1"/>
    <row r="213" s="472" customFormat="1"/>
    <row r="214" s="472" customFormat="1"/>
    <row r="215" s="472" customFormat="1"/>
    <row r="216" s="472" customFormat="1"/>
    <row r="217" s="472" customFormat="1"/>
    <row r="218" s="472" customFormat="1"/>
    <row r="219" s="472" customFormat="1"/>
    <row r="220" s="472" customFormat="1"/>
    <row r="221" s="472" customFormat="1"/>
    <row r="222" s="472" customFormat="1"/>
    <row r="223" s="472" customFormat="1"/>
    <row r="224" s="472" customFormat="1"/>
    <row r="225" s="472" customFormat="1"/>
    <row r="226" s="472" customFormat="1"/>
    <row r="227" s="472" customFormat="1"/>
    <row r="228" s="472" customFormat="1"/>
    <row r="229" s="472" customFormat="1"/>
    <row r="230" s="472" customFormat="1"/>
    <row r="231" s="472" customFormat="1"/>
    <row r="232" s="472" customFormat="1"/>
    <row r="233" s="472" customFormat="1"/>
    <row r="234" s="472" customFormat="1"/>
    <row r="235" s="472" customFormat="1"/>
    <row r="236" s="472" customFormat="1"/>
    <row r="237" s="472" customFormat="1"/>
    <row r="238" s="472" customFormat="1"/>
    <row r="239" s="472" customFormat="1"/>
    <row r="240" s="472" customFormat="1"/>
    <row r="241" s="472" customFormat="1"/>
    <row r="242" s="472" customFormat="1"/>
    <row r="243" s="472" customFormat="1"/>
    <row r="244" s="472" customFormat="1"/>
    <row r="245" s="472" customFormat="1"/>
    <row r="246" s="472" customFormat="1"/>
    <row r="247" s="472" customFormat="1"/>
    <row r="248" s="472" customFormat="1"/>
    <row r="249" s="472" customFormat="1"/>
    <row r="250" s="472" customFormat="1"/>
    <row r="251" s="472" customFormat="1"/>
    <row r="252" s="472" customFormat="1"/>
    <row r="253" s="472" customFormat="1"/>
    <row r="254" s="472" customFormat="1"/>
    <row r="255" s="472" customFormat="1"/>
    <row r="256" s="472" customFormat="1"/>
    <row r="257" s="472" customFormat="1"/>
    <row r="258" s="472" customFormat="1"/>
    <row r="259" s="472" customFormat="1"/>
    <row r="260" s="472" customFormat="1"/>
    <row r="261" s="472" customFormat="1"/>
    <row r="262" s="472" customFormat="1"/>
    <row r="263" s="472" customFormat="1"/>
    <row r="264" s="472" customFormat="1"/>
    <row r="265" s="472" customFormat="1"/>
    <row r="266" s="472" customFormat="1"/>
    <row r="267" s="472" customFormat="1"/>
    <row r="268" s="472" customFormat="1"/>
    <row r="269" s="472" customFormat="1"/>
    <row r="270" s="472" customFormat="1"/>
    <row r="271" s="472" customFormat="1"/>
    <row r="272" s="472" customFormat="1"/>
    <row r="273" s="472" customFormat="1"/>
    <row r="274" s="472" customFormat="1"/>
    <row r="275" s="472" customFormat="1"/>
    <row r="276" s="472" customFormat="1"/>
    <row r="277" s="472" customFormat="1"/>
    <row r="278" s="472" customFormat="1"/>
    <row r="279" s="472" customFormat="1"/>
    <row r="280" s="472" customFormat="1"/>
    <row r="281" s="472" customFormat="1"/>
    <row r="282" s="472" customFormat="1"/>
    <row r="283" s="472" customFormat="1"/>
    <row r="284" s="472" customFormat="1"/>
    <row r="285" s="472" customFormat="1"/>
    <row r="286" s="472" customFormat="1"/>
    <row r="287" s="472" customFormat="1"/>
    <row r="288" s="472" customFormat="1"/>
    <row r="289" s="472" customFormat="1"/>
    <row r="290" s="472" customFormat="1"/>
    <row r="291" s="472" customFormat="1"/>
    <row r="292" s="472" customFormat="1"/>
    <row r="293" s="472" customFormat="1"/>
    <row r="294" s="472" customFormat="1"/>
    <row r="295" s="472" customFormat="1"/>
    <row r="296" s="472" customFormat="1"/>
    <row r="297" s="472" customFormat="1"/>
    <row r="298" s="472" customFormat="1"/>
    <row r="299" s="472" customFormat="1"/>
    <row r="300" s="472" customFormat="1"/>
    <row r="301" s="472" customFormat="1"/>
    <row r="302" s="472" customFormat="1"/>
    <row r="303" s="472" customFormat="1"/>
    <row r="304" s="472" customFormat="1"/>
    <row r="305" s="472" customFormat="1"/>
    <row r="306" s="472" customFormat="1"/>
    <row r="307" s="472" customFormat="1"/>
    <row r="308" s="472" customFormat="1"/>
    <row r="309" s="472" customFormat="1"/>
    <row r="310" s="472" customFormat="1"/>
    <row r="311" s="472" customFormat="1"/>
    <row r="312" s="472" customFormat="1"/>
    <row r="313" s="472" customFormat="1"/>
    <row r="314" s="472" customFormat="1"/>
    <row r="315" s="472" customFormat="1"/>
    <row r="316" s="472" customFormat="1"/>
    <row r="317" s="472" customFormat="1"/>
    <row r="318" s="472" customFormat="1"/>
    <row r="319" s="472" customFormat="1"/>
    <row r="320" s="472" customFormat="1"/>
    <row r="321" s="472" customFormat="1"/>
    <row r="322" s="472" customFormat="1"/>
    <row r="323" s="472" customFormat="1"/>
    <row r="324" s="472" customFormat="1"/>
    <row r="325" s="472" customFormat="1"/>
    <row r="326" s="472" customFormat="1"/>
    <row r="327" s="472" customFormat="1"/>
    <row r="328" s="472" customFormat="1"/>
    <row r="329" s="472" customFormat="1"/>
    <row r="330" s="472" customFormat="1"/>
    <row r="331" s="472" customFormat="1"/>
    <row r="332" s="472" customFormat="1"/>
    <row r="333" s="472" customFormat="1"/>
    <row r="334" s="472" customFormat="1"/>
    <row r="335" s="472" customFormat="1"/>
    <row r="336" s="472" customFormat="1"/>
    <row r="337" s="472" customFormat="1"/>
    <row r="338" s="472" customFormat="1"/>
    <row r="339" s="472" customFormat="1"/>
    <row r="340" s="472" customFormat="1"/>
    <row r="341" s="472" customFormat="1"/>
    <row r="342" s="472" customFormat="1"/>
    <row r="343" s="472" customFormat="1"/>
    <row r="344" s="472" customFormat="1"/>
    <row r="345" s="472" customFormat="1"/>
    <row r="346" s="472" customFormat="1"/>
    <row r="347" s="472" customFormat="1"/>
    <row r="348" s="472" customFormat="1"/>
    <row r="349" s="472" customFormat="1"/>
    <row r="350" s="472" customFormat="1"/>
    <row r="351" s="472" customFormat="1"/>
    <row r="352" s="472" customFormat="1"/>
    <row r="353" s="472" customFormat="1"/>
    <row r="354" s="472" customFormat="1"/>
    <row r="355" s="472" customFormat="1"/>
    <row r="356" s="472" customFormat="1"/>
    <row r="357" s="472" customFormat="1"/>
    <row r="358" s="472" customFormat="1"/>
    <row r="359" s="472" customFormat="1"/>
    <row r="360" s="472" customFormat="1"/>
    <row r="361" s="472" customFormat="1"/>
    <row r="362" s="472" customFormat="1"/>
    <row r="363" s="472" customFormat="1"/>
    <row r="364" s="472" customFormat="1"/>
    <row r="365" s="472" customFormat="1"/>
    <row r="366" s="472" customFormat="1"/>
    <row r="367" s="472" customFormat="1"/>
    <row r="368" s="472" customFormat="1"/>
    <row r="369" s="472" customFormat="1"/>
    <row r="370" s="472" customFormat="1"/>
    <row r="371" s="472" customFormat="1"/>
    <row r="372" s="472" customFormat="1"/>
    <row r="373" s="472" customFormat="1"/>
    <row r="374" s="472" customFormat="1"/>
    <row r="375" s="472" customFormat="1"/>
    <row r="376" s="472" customFormat="1"/>
    <row r="377" s="472" customFormat="1"/>
    <row r="378" s="472" customFormat="1"/>
    <row r="379" s="472" customFormat="1"/>
    <row r="380" s="472" customFormat="1"/>
    <row r="381" s="472" customFormat="1"/>
    <row r="382" s="472" customFormat="1"/>
    <row r="383" s="472" customFormat="1"/>
    <row r="384" s="472" customFormat="1"/>
    <row r="385" s="472" customFormat="1"/>
    <row r="386" s="472" customFormat="1"/>
    <row r="387" s="472" customFormat="1"/>
    <row r="388" s="472" customFormat="1"/>
    <row r="389" s="472" customFormat="1"/>
    <row r="390" s="472" customFormat="1"/>
    <row r="391" s="472" customFormat="1"/>
    <row r="392" s="472" customFormat="1"/>
    <row r="393" s="472" customFormat="1"/>
    <row r="394" s="472" customFormat="1"/>
    <row r="395" s="472" customFormat="1"/>
    <row r="396" s="472" customFormat="1"/>
    <row r="397" s="472" customFormat="1"/>
    <row r="398" s="472" customFormat="1"/>
    <row r="399" s="472" customFormat="1"/>
    <row r="400" s="472" customFormat="1"/>
    <row r="401" s="472" customFormat="1"/>
    <row r="402" s="472" customFormat="1"/>
    <row r="403" s="472" customFormat="1"/>
    <row r="404" s="472" customFormat="1"/>
    <row r="405" s="472" customFormat="1"/>
    <row r="406" s="472" customFormat="1"/>
    <row r="407" s="472" customFormat="1"/>
    <row r="408" s="472" customFormat="1"/>
    <row r="409" s="472" customFormat="1"/>
    <row r="410" s="472" customFormat="1"/>
    <row r="411" s="472" customFormat="1"/>
    <row r="412" s="472" customFormat="1"/>
    <row r="413" s="472" customFormat="1"/>
    <row r="414" s="472" customFormat="1"/>
    <row r="415" s="472" customFormat="1"/>
    <row r="416" s="472" customFormat="1"/>
    <row r="417" s="472" customFormat="1"/>
    <row r="418" s="472" customFormat="1"/>
    <row r="419" s="472" customFormat="1"/>
    <row r="420" s="472" customFormat="1"/>
    <row r="421" s="472" customFormat="1"/>
    <row r="422" s="472" customFormat="1"/>
    <row r="423" s="472" customFormat="1"/>
    <row r="424" s="472" customFormat="1"/>
    <row r="425" s="472" customFormat="1"/>
    <row r="426" s="472" customFormat="1"/>
    <row r="427" s="472" customFormat="1"/>
    <row r="428" s="472" customFormat="1"/>
    <row r="429" s="472" customFormat="1"/>
    <row r="430" s="472" customFormat="1"/>
    <row r="431" s="472" customFormat="1"/>
    <row r="432" s="472" customFormat="1"/>
    <row r="433" s="472" customFormat="1"/>
    <row r="434" s="472" customFormat="1"/>
    <row r="435" s="472" customFormat="1"/>
    <row r="436" s="472" customFormat="1"/>
    <row r="437" s="472" customFormat="1"/>
    <row r="438" s="472" customFormat="1"/>
    <row r="439" s="472" customFormat="1"/>
    <row r="440" s="472" customFormat="1"/>
    <row r="441" s="472" customFormat="1"/>
    <row r="442" s="472" customFormat="1"/>
    <row r="443" s="472" customFormat="1"/>
    <row r="444" s="472" customFormat="1"/>
    <row r="445" s="472" customFormat="1"/>
    <row r="446" s="472" customFormat="1"/>
    <row r="447" s="472" customFormat="1"/>
    <row r="448" s="472" customFormat="1"/>
    <row r="449" s="472" customFormat="1"/>
    <row r="450" s="472" customFormat="1"/>
    <row r="451" s="472" customFormat="1"/>
    <row r="452" s="472" customFormat="1"/>
    <row r="453" s="472" customFormat="1"/>
    <row r="454" s="472" customFormat="1"/>
    <row r="455" s="472" customFormat="1"/>
    <row r="456" s="472" customFormat="1"/>
    <row r="457" s="472" customFormat="1"/>
    <row r="458" s="472" customFormat="1"/>
    <row r="459" s="472" customFormat="1"/>
    <row r="460" s="472" customFormat="1"/>
    <row r="461" s="472" customFormat="1"/>
    <row r="462" s="472" customFormat="1"/>
    <row r="463" s="472" customFormat="1"/>
    <row r="464" s="472" customFormat="1"/>
    <row r="465" s="472" customFormat="1"/>
    <row r="466" s="472" customFormat="1"/>
    <row r="467" s="472" customFormat="1"/>
    <row r="468" s="472" customFormat="1"/>
    <row r="469" s="472" customFormat="1"/>
    <row r="470" s="472" customFormat="1"/>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8">
    <tabColor theme="6" tint="0.59999389629810485"/>
    <pageSetUpPr fitToPage="1"/>
  </sheetPr>
  <dimension ref="A1:DN113"/>
  <sheetViews>
    <sheetView workbookViewId="0">
      <selection activeCell="AB26" sqref="AB26:AR26"/>
    </sheetView>
  </sheetViews>
  <sheetFormatPr defaultRowHeight="12.75"/>
  <cols>
    <col min="1" max="14" width="2.7109375" customWidth="1"/>
    <col min="15" max="15" width="3.28515625" customWidth="1"/>
    <col min="16" max="17" width="2.7109375" customWidth="1"/>
    <col min="18" max="18" width="3.28515625" customWidth="1"/>
    <col min="19" max="24" width="2.7109375" customWidth="1"/>
    <col min="25" max="25" width="3.7109375" customWidth="1"/>
    <col min="26" max="28" width="2.7109375" customWidth="1"/>
    <col min="29" max="29" width="3.28515625" customWidth="1"/>
    <col min="30" max="44" width="2.7109375" customWidth="1"/>
    <col min="45" max="45" width="9.28515625" customWidth="1"/>
    <col min="46" max="49" width="9.28515625" style="21" customWidth="1"/>
    <col min="50" max="55" width="4.7109375" style="21" hidden="1" customWidth="1"/>
    <col min="56" max="64" width="4.7109375" style="20" hidden="1" customWidth="1"/>
    <col min="65" max="118" width="9.140625" style="20"/>
  </cols>
  <sheetData>
    <row r="1" spans="1:118" ht="21.95" customHeight="1">
      <c r="A1" s="75"/>
      <c r="B1" s="75"/>
      <c r="C1" s="75"/>
      <c r="D1" s="75"/>
      <c r="E1" s="75"/>
      <c r="F1" s="75"/>
      <c r="G1" s="75"/>
      <c r="H1" s="75"/>
      <c r="I1" s="75"/>
      <c r="J1" s="75"/>
      <c r="K1" s="75"/>
      <c r="L1" s="75"/>
      <c r="M1" s="75"/>
      <c r="N1" s="75"/>
      <c r="O1" s="75"/>
      <c r="P1" s="75"/>
      <c r="Q1" s="75"/>
      <c r="R1" s="75"/>
      <c r="S1" s="75"/>
      <c r="T1" s="1966" t="s">
        <v>344</v>
      </c>
      <c r="U1" s="1967"/>
      <c r="V1" s="1967"/>
      <c r="W1" s="1967"/>
      <c r="X1" s="1967"/>
      <c r="Y1" s="1967"/>
      <c r="Z1" s="1967"/>
      <c r="AA1" s="1968"/>
      <c r="AB1" s="75"/>
      <c r="AC1" s="75"/>
      <c r="AD1" s="270"/>
      <c r="AE1" s="270"/>
      <c r="AF1" s="1954" t="s">
        <v>3725</v>
      </c>
      <c r="AG1" s="1955"/>
      <c r="AH1" s="1955"/>
      <c r="AI1" s="1955"/>
      <c r="AJ1" s="1955"/>
      <c r="AK1" s="1955"/>
      <c r="AL1" s="1955"/>
      <c r="AM1" s="1955"/>
      <c r="AN1" s="1955"/>
      <c r="AO1" s="1955"/>
      <c r="AP1" s="1955"/>
      <c r="AQ1" s="1955"/>
      <c r="AR1" s="1956"/>
      <c r="AS1" s="384"/>
      <c r="AT1" s="1946" t="s">
        <v>3597</v>
      </c>
      <c r="AU1" s="1947"/>
      <c r="AV1" s="1947"/>
      <c r="AW1" s="384"/>
    </row>
    <row r="2" spans="1:118" ht="18" customHeight="1">
      <c r="A2" s="75"/>
      <c r="B2" s="75"/>
      <c r="C2" s="75"/>
      <c r="D2" s="75"/>
      <c r="E2" s="75"/>
      <c r="F2" s="75"/>
      <c r="G2" s="75"/>
      <c r="H2" s="75"/>
      <c r="I2" s="75"/>
      <c r="J2" s="75"/>
      <c r="K2" s="75"/>
      <c r="L2" s="75"/>
      <c r="M2" s="75"/>
      <c r="N2" s="75"/>
      <c r="O2" s="75"/>
      <c r="P2" s="75"/>
      <c r="Q2" s="75"/>
      <c r="R2" s="261"/>
      <c r="S2" s="75"/>
      <c r="T2" s="1969" t="s">
        <v>345</v>
      </c>
      <c r="U2" s="1970"/>
      <c r="V2" s="1970"/>
      <c r="W2" s="1970"/>
      <c r="X2" s="1970"/>
      <c r="Y2" s="1970"/>
      <c r="Z2" s="1970"/>
      <c r="AA2" s="1971"/>
      <c r="AB2" s="75"/>
      <c r="AC2" s="261"/>
      <c r="AD2" s="270"/>
      <c r="AE2" s="270"/>
      <c r="AF2" s="1957"/>
      <c r="AG2" s="1958"/>
      <c r="AH2" s="1958"/>
      <c r="AI2" s="1958"/>
      <c r="AJ2" s="1958"/>
      <c r="AK2" s="1958"/>
      <c r="AL2" s="1958"/>
      <c r="AM2" s="1958"/>
      <c r="AN2" s="1958"/>
      <c r="AO2" s="1958"/>
      <c r="AP2" s="1958"/>
      <c r="AQ2" s="1958"/>
      <c r="AR2" s="1959"/>
      <c r="AS2" s="384"/>
      <c r="AT2" s="507" t="s">
        <v>3560</v>
      </c>
      <c r="AU2" s="507"/>
      <c r="AV2" s="507" t="s">
        <v>3561</v>
      </c>
      <c r="AW2" s="384"/>
    </row>
    <row r="3" spans="1:118" ht="14.25" customHeight="1">
      <c r="A3" s="75"/>
      <c r="B3" s="75"/>
      <c r="C3" s="75"/>
      <c r="D3" s="75"/>
      <c r="E3" s="75"/>
      <c r="F3" s="75"/>
      <c r="G3" s="75"/>
      <c r="H3" s="75"/>
      <c r="I3" s="75"/>
      <c r="J3" s="75"/>
      <c r="K3" s="75"/>
      <c r="L3" s="75"/>
      <c r="M3" s="75"/>
      <c r="N3" s="75"/>
      <c r="O3" s="75"/>
      <c r="P3" s="75"/>
      <c r="Q3" s="75"/>
      <c r="R3" s="75"/>
      <c r="S3" s="75"/>
      <c r="T3" s="2037" t="s">
        <v>346</v>
      </c>
      <c r="U3" s="1970"/>
      <c r="V3" s="1970"/>
      <c r="W3" s="1970"/>
      <c r="X3" s="1970"/>
      <c r="Y3" s="1970"/>
      <c r="Z3" s="1970"/>
      <c r="AA3" s="1971"/>
      <c r="AB3" s="75"/>
      <c r="AC3" s="75"/>
      <c r="AD3" s="270"/>
      <c r="AE3" s="270"/>
      <c r="AF3" s="1957"/>
      <c r="AG3" s="1958"/>
      <c r="AH3" s="1958"/>
      <c r="AI3" s="1958"/>
      <c r="AJ3" s="1958"/>
      <c r="AK3" s="1958"/>
      <c r="AL3" s="1958"/>
      <c r="AM3" s="1958"/>
      <c r="AN3" s="1958"/>
      <c r="AO3" s="1958"/>
      <c r="AP3" s="1958"/>
      <c r="AQ3" s="1958"/>
      <c r="AR3" s="1959"/>
      <c r="AS3" s="384"/>
      <c r="AT3" s="385" t="s">
        <v>246</v>
      </c>
      <c r="AU3" s="384"/>
      <c r="AV3" s="385"/>
      <c r="AW3" s="384"/>
    </row>
    <row r="4" spans="1:118" ht="21.95" customHeight="1">
      <c r="A4" s="2047"/>
      <c r="B4" s="2047"/>
      <c r="C4" s="2047"/>
      <c r="D4" s="2047"/>
      <c r="E4" s="2047"/>
      <c r="F4" s="2048" t="s">
        <v>343</v>
      </c>
      <c r="G4" s="2049"/>
      <c r="H4" s="2049"/>
      <c r="I4" s="2049"/>
      <c r="J4" s="2049"/>
      <c r="K4" s="2049"/>
      <c r="L4" s="2049"/>
      <c r="M4" s="2049"/>
      <c r="N4" s="2049"/>
      <c r="O4" s="2049"/>
      <c r="P4" s="2049"/>
      <c r="Q4" s="2049"/>
      <c r="R4" s="2049"/>
      <c r="S4" s="2049"/>
      <c r="T4" s="2038">
        <v>2024</v>
      </c>
      <c r="U4" s="2039"/>
      <c r="V4" s="2039"/>
      <c r="W4" s="2039"/>
      <c r="X4" s="2039"/>
      <c r="Y4" s="2039"/>
      <c r="Z4" s="2039"/>
      <c r="AA4" s="2040"/>
      <c r="AB4" s="75"/>
      <c r="AC4" s="75"/>
      <c r="AD4" s="270"/>
      <c r="AE4" s="270"/>
      <c r="AF4" s="1957"/>
      <c r="AG4" s="1958"/>
      <c r="AH4" s="1958"/>
      <c r="AI4" s="1958"/>
      <c r="AJ4" s="1958"/>
      <c r="AK4" s="1958"/>
      <c r="AL4" s="1958"/>
      <c r="AM4" s="1958"/>
      <c r="AN4" s="1958"/>
      <c r="AO4" s="1958"/>
      <c r="AP4" s="1958"/>
      <c r="AQ4" s="1958"/>
      <c r="AR4" s="1959"/>
      <c r="AS4" s="384"/>
      <c r="AT4" s="384"/>
      <c r="AU4" s="384"/>
      <c r="AV4" s="384"/>
      <c r="AW4" s="384"/>
    </row>
    <row r="5" spans="1:118" ht="15" customHeight="1">
      <c r="A5" s="2051" t="s">
        <v>3854</v>
      </c>
      <c r="B5" s="2051"/>
      <c r="C5" s="2051"/>
      <c r="D5" s="2051"/>
      <c r="E5" s="2051"/>
      <c r="F5" s="2051"/>
      <c r="G5" s="2051"/>
      <c r="H5" s="2051"/>
      <c r="I5" s="2051"/>
      <c r="J5" s="2051"/>
      <c r="K5" s="2051"/>
      <c r="L5" s="2051"/>
      <c r="M5" s="2051"/>
      <c r="N5" s="2051"/>
      <c r="O5" s="2051"/>
      <c r="P5" s="2051"/>
      <c r="Q5" s="2051"/>
      <c r="R5" s="2051"/>
      <c r="S5" s="509"/>
      <c r="T5" s="1021"/>
      <c r="U5" s="655"/>
      <c r="V5" s="655"/>
      <c r="W5" s="655"/>
      <c r="X5" s="655"/>
      <c r="Y5" s="655"/>
      <c r="Z5" s="655"/>
      <c r="AA5" s="655"/>
      <c r="AB5" s="75"/>
      <c r="AC5" s="75"/>
      <c r="AD5" s="270"/>
      <c r="AE5" s="270"/>
      <c r="AF5" s="1957"/>
      <c r="AG5" s="1958"/>
      <c r="AH5" s="1958"/>
      <c r="AI5" s="1958"/>
      <c r="AJ5" s="1958"/>
      <c r="AK5" s="1958"/>
      <c r="AL5" s="1958"/>
      <c r="AM5" s="1958"/>
      <c r="AN5" s="1958"/>
      <c r="AO5" s="1958"/>
      <c r="AP5" s="1958"/>
      <c r="AQ5" s="1958"/>
      <c r="AR5" s="1959"/>
      <c r="AS5" s="21"/>
    </row>
    <row r="6" spans="1:118" ht="15" customHeight="1">
      <c r="A6" s="2051"/>
      <c r="B6" s="2051"/>
      <c r="C6" s="2051"/>
      <c r="D6" s="2051"/>
      <c r="E6" s="2051"/>
      <c r="F6" s="2051"/>
      <c r="G6" s="2051"/>
      <c r="H6" s="2051"/>
      <c r="I6" s="2051"/>
      <c r="J6" s="2051"/>
      <c r="K6" s="2051"/>
      <c r="L6" s="2051"/>
      <c r="M6" s="2051"/>
      <c r="N6" s="2051"/>
      <c r="O6" s="2051"/>
      <c r="P6" s="2051"/>
      <c r="Q6" s="2051"/>
      <c r="R6" s="2051"/>
      <c r="S6" s="509"/>
      <c r="T6" s="75"/>
      <c r="U6" s="2043" t="s">
        <v>62</v>
      </c>
      <c r="V6" s="2043"/>
      <c r="W6" s="2043"/>
      <c r="X6" s="2043"/>
      <c r="Y6" s="2043"/>
      <c r="Z6" s="2043"/>
      <c r="AA6" s="75"/>
      <c r="AB6" s="75"/>
      <c r="AC6" s="75"/>
      <c r="AD6" s="75"/>
      <c r="AE6" s="75"/>
      <c r="AF6" s="1960"/>
      <c r="AG6" s="1961"/>
      <c r="AH6" s="1961"/>
      <c r="AI6" s="1961"/>
      <c r="AJ6" s="1961"/>
      <c r="AK6" s="1961"/>
      <c r="AL6" s="1961"/>
      <c r="AM6" s="1961"/>
      <c r="AN6" s="1961"/>
      <c r="AO6" s="1961"/>
      <c r="AP6" s="1961"/>
      <c r="AQ6" s="1961"/>
      <c r="AR6" s="1962"/>
      <c r="AS6" s="21"/>
    </row>
    <row r="7" spans="1:118" ht="10.5" customHeight="1">
      <c r="A7" s="2041" t="s">
        <v>3506</v>
      </c>
      <c r="B7" s="2042"/>
      <c r="C7" s="2042"/>
      <c r="D7" s="2042"/>
      <c r="E7" s="2042"/>
      <c r="F7" s="2042"/>
      <c r="G7" s="2042"/>
      <c r="H7" s="2042"/>
      <c r="I7" s="2042"/>
      <c r="J7" s="2042"/>
      <c r="K7" s="2042"/>
      <c r="L7" s="2042"/>
      <c r="M7" s="2042"/>
      <c r="N7" s="2042"/>
      <c r="O7" s="2042"/>
      <c r="P7" s="2042"/>
      <c r="Q7" s="2042"/>
      <c r="R7" s="2042"/>
      <c r="S7" s="2042"/>
      <c r="T7" s="2044" t="s">
        <v>316</v>
      </c>
      <c r="U7" s="1970"/>
      <c r="V7" s="1970"/>
      <c r="W7" s="510" t="s">
        <v>246</v>
      </c>
      <c r="X7" s="2045" t="s">
        <v>317</v>
      </c>
      <c r="Y7" s="2046"/>
      <c r="Z7" s="510"/>
      <c r="AA7" s="75"/>
      <c r="AB7" s="75"/>
      <c r="AC7" s="75"/>
      <c r="AD7" s="75"/>
      <c r="AE7" s="75"/>
      <c r="AF7" s="1963"/>
      <c r="AG7" s="1964"/>
      <c r="AH7" s="1964"/>
      <c r="AI7" s="1964"/>
      <c r="AJ7" s="1964"/>
      <c r="AK7" s="1964"/>
      <c r="AL7" s="1964"/>
      <c r="AM7" s="1964"/>
      <c r="AN7" s="1964"/>
      <c r="AO7" s="1964"/>
      <c r="AP7" s="1964"/>
      <c r="AQ7" s="1964"/>
      <c r="AR7" s="1965"/>
      <c r="AS7" s="21"/>
    </row>
    <row r="8" spans="1:118">
      <c r="A8" s="2052" t="s">
        <v>85</v>
      </c>
      <c r="B8" s="2052"/>
      <c r="C8" s="2052"/>
      <c r="D8" s="2052"/>
      <c r="E8" s="2052"/>
      <c r="F8" s="2052"/>
      <c r="G8" s="2052"/>
      <c r="H8" s="2052"/>
      <c r="I8" s="2052"/>
      <c r="J8" s="2052"/>
      <c r="K8" s="2052"/>
      <c r="L8" s="2052"/>
      <c r="M8" s="2052"/>
      <c r="N8" s="2052"/>
      <c r="O8" s="2052"/>
      <c r="P8" s="2052"/>
      <c r="Q8" s="2052"/>
      <c r="R8" s="2052"/>
      <c r="S8" s="2052"/>
      <c r="T8" s="2052"/>
      <c r="U8" s="2052"/>
      <c r="V8" s="2052"/>
      <c r="W8" s="2052"/>
      <c r="X8" s="2052"/>
      <c r="Y8" s="2052"/>
      <c r="Z8" s="2052"/>
      <c r="AA8" s="2052"/>
      <c r="AB8" s="2052"/>
      <c r="AC8" s="2052"/>
      <c r="AD8" s="2052"/>
      <c r="AE8" s="2052"/>
      <c r="AF8" s="2052"/>
      <c r="AG8" s="2052"/>
      <c r="AH8" s="2052"/>
      <c r="AI8" s="2052"/>
      <c r="AJ8" s="2052"/>
      <c r="AK8" s="2052"/>
      <c r="AL8" s="2052"/>
      <c r="AM8" s="2052"/>
      <c r="AN8" s="2052"/>
      <c r="AO8" s="2052"/>
      <c r="AP8" s="2052"/>
      <c r="AQ8" s="2052"/>
      <c r="AR8" s="2052"/>
      <c r="AS8" s="21"/>
    </row>
    <row r="9" spans="1:118" ht="15" customHeight="1">
      <c r="A9" s="1936" t="s">
        <v>114</v>
      </c>
      <c r="B9" s="1937"/>
      <c r="C9" s="1937"/>
      <c r="D9" s="1937"/>
      <c r="E9" s="1937"/>
      <c r="F9" s="1937"/>
      <c r="G9" s="1937"/>
      <c r="H9" s="1937"/>
      <c r="I9" s="1937"/>
      <c r="J9" s="1937"/>
      <c r="K9" s="1937"/>
      <c r="L9" s="1937"/>
      <c r="M9" s="1937"/>
      <c r="N9" s="1937"/>
      <c r="O9" s="1937"/>
      <c r="P9" s="1937"/>
      <c r="Q9" s="1937"/>
      <c r="R9" s="1937"/>
      <c r="S9" s="1937"/>
      <c r="T9" s="1937"/>
      <c r="U9" s="1937"/>
      <c r="V9" s="1937"/>
      <c r="W9" s="1937"/>
      <c r="X9" s="1937"/>
      <c r="Y9" s="1937"/>
      <c r="Z9" s="1937"/>
      <c r="AA9" s="1937"/>
      <c r="AB9" s="1937"/>
      <c r="AC9" s="1937"/>
      <c r="AD9" s="1937"/>
      <c r="AE9" s="1937"/>
      <c r="AF9" s="1937"/>
      <c r="AG9" s="1937"/>
      <c r="AH9" s="1937"/>
      <c r="AI9" s="1937"/>
      <c r="AJ9" s="1937"/>
      <c r="AK9" s="1937"/>
      <c r="AL9" s="1937"/>
      <c r="AM9" s="1937"/>
      <c r="AN9" s="1937"/>
      <c r="AO9" s="1937"/>
      <c r="AP9" s="1937"/>
      <c r="AQ9" s="1937"/>
      <c r="AR9" s="2061"/>
      <c r="AS9" s="21"/>
    </row>
    <row r="10" spans="1:118" s="281" customFormat="1" ht="9.9499999999999993" customHeight="1">
      <c r="A10" s="2001" t="s">
        <v>91</v>
      </c>
      <c r="B10" s="1897"/>
      <c r="C10" s="1897"/>
      <c r="D10" s="1897"/>
      <c r="E10" s="1897"/>
      <c r="F10" s="1897"/>
      <c r="G10" s="1897"/>
      <c r="H10" s="1897"/>
      <c r="I10" s="1897"/>
      <c r="J10" s="1897"/>
      <c r="K10" s="1897"/>
      <c r="L10" s="1897"/>
      <c r="M10" s="1897"/>
      <c r="N10" s="1897"/>
      <c r="O10" s="1897"/>
      <c r="P10" s="1897"/>
      <c r="Q10" s="1897"/>
      <c r="R10" s="1897"/>
      <c r="S10" s="1897"/>
      <c r="T10" s="1897"/>
      <c r="U10" s="1897"/>
      <c r="V10" s="1897"/>
      <c r="W10" s="1897"/>
      <c r="X10" s="520"/>
      <c r="Y10" s="1897" t="s">
        <v>90</v>
      </c>
      <c r="Z10" s="1897"/>
      <c r="AA10" s="1897"/>
      <c r="AB10" s="1897"/>
      <c r="AC10" s="1897"/>
      <c r="AD10" s="1897"/>
      <c r="AE10" s="1897"/>
      <c r="AF10" s="1897"/>
      <c r="AG10" s="1897"/>
      <c r="AH10" s="1897"/>
      <c r="AI10" s="1897"/>
      <c r="AJ10" s="1897"/>
      <c r="AK10" s="1897"/>
      <c r="AL10" s="1897"/>
      <c r="AM10" s="520"/>
      <c r="AN10" s="1897" t="s">
        <v>109</v>
      </c>
      <c r="AO10" s="1897"/>
      <c r="AP10" s="1897"/>
      <c r="AQ10" s="1897"/>
      <c r="AR10" s="2062"/>
      <c r="AS10" s="21"/>
      <c r="AT10" s="280"/>
      <c r="AU10" s="280"/>
      <c r="AV10" s="280"/>
      <c r="AW10" s="280"/>
      <c r="AX10" s="280"/>
      <c r="AY10" s="280"/>
      <c r="AZ10" s="280"/>
      <c r="BA10" s="280"/>
      <c r="BB10" s="280"/>
      <c r="BC10" s="280"/>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row>
    <row r="11" spans="1:118" s="107" customFormat="1" ht="24" customHeight="1">
      <c r="A11" s="1932" t="str">
        <f>+CONCATENATE(ZAKL_DATA!B5)</f>
        <v/>
      </c>
      <c r="B11" s="1933"/>
      <c r="C11" s="1933"/>
      <c r="D11" s="1933"/>
      <c r="E11" s="1933"/>
      <c r="F11" s="1933"/>
      <c r="G11" s="1933"/>
      <c r="H11" s="1933"/>
      <c r="I11" s="1933"/>
      <c r="J11" s="1933"/>
      <c r="K11" s="1933"/>
      <c r="L11" s="1933"/>
      <c r="M11" s="1933"/>
      <c r="N11" s="1933"/>
      <c r="O11" s="1933"/>
      <c r="P11" s="1933"/>
      <c r="Q11" s="1933"/>
      <c r="R11" s="1933"/>
      <c r="S11" s="1933"/>
      <c r="T11" s="1933"/>
      <c r="U11" s="1933"/>
      <c r="V11" s="1933"/>
      <c r="W11" s="1934"/>
      <c r="X11" s="511"/>
      <c r="Y11" s="1932" t="str">
        <f>+CONCATENATE(+ZAKL_DATA!B4)</f>
        <v/>
      </c>
      <c r="Z11" s="1933"/>
      <c r="AA11" s="1933"/>
      <c r="AB11" s="1933"/>
      <c r="AC11" s="1933"/>
      <c r="AD11" s="1933"/>
      <c r="AE11" s="1933"/>
      <c r="AF11" s="1933"/>
      <c r="AG11" s="1933"/>
      <c r="AH11" s="1933"/>
      <c r="AI11" s="1933"/>
      <c r="AJ11" s="1933"/>
      <c r="AK11" s="1933"/>
      <c r="AL11" s="1934"/>
      <c r="AM11" s="511"/>
      <c r="AN11" s="1998" t="str">
        <f>+CONCATENATE(+ZAKL_DATA!B7)</f>
        <v/>
      </c>
      <c r="AO11" s="1999"/>
      <c r="AP11" s="1999"/>
      <c r="AQ11" s="1999"/>
      <c r="AR11" s="2000"/>
      <c r="AS11" s="21"/>
      <c r="AT11" s="110"/>
      <c r="AU11" s="110"/>
      <c r="AV11" s="110"/>
      <c r="AW11" s="110"/>
      <c r="AX11" s="110"/>
      <c r="AY11" s="110"/>
      <c r="AZ11" s="110"/>
      <c r="BA11" s="110"/>
      <c r="BB11" s="110"/>
      <c r="BC11" s="110"/>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c r="DF11" s="285"/>
      <c r="DG11" s="285"/>
      <c r="DH11" s="285"/>
      <c r="DI11" s="285"/>
      <c r="DJ11" s="285"/>
      <c r="DK11" s="285"/>
      <c r="DL11" s="285"/>
      <c r="DM11" s="285"/>
      <c r="DN11" s="285"/>
    </row>
    <row r="12" spans="1:118" s="281" customFormat="1" ht="9.9499999999999993" customHeight="1">
      <c r="A12" s="2001" t="s">
        <v>259</v>
      </c>
      <c r="B12" s="1897"/>
      <c r="C12" s="1897"/>
      <c r="D12" s="1897"/>
      <c r="E12" s="1897"/>
      <c r="F12" s="1897"/>
      <c r="G12" s="1897"/>
      <c r="H12" s="1897"/>
      <c r="I12" s="1897"/>
      <c r="J12" s="1897"/>
      <c r="K12" s="1897"/>
      <c r="L12" s="1897"/>
      <c r="M12" s="1897"/>
      <c r="N12" s="1897"/>
      <c r="O12" s="1897"/>
      <c r="P12" s="1897"/>
      <c r="Q12" s="1897"/>
      <c r="R12" s="1897"/>
      <c r="S12" s="1897"/>
      <c r="T12" s="1897"/>
      <c r="U12" s="1897"/>
      <c r="V12" s="1897"/>
      <c r="W12" s="1897"/>
      <c r="X12" s="520"/>
      <c r="Y12" s="1896" t="s">
        <v>3595</v>
      </c>
      <c r="Z12" s="1896"/>
      <c r="AA12" s="1896"/>
      <c r="AB12" s="1896"/>
      <c r="AC12" s="1897"/>
      <c r="AD12" s="1897"/>
      <c r="AE12" s="1897"/>
      <c r="AF12" s="1897"/>
      <c r="AG12" s="522"/>
      <c r="AH12" s="1903" t="s">
        <v>3507</v>
      </c>
      <c r="AI12" s="1904"/>
      <c r="AJ12" s="1904"/>
      <c r="AK12" s="1904"/>
      <c r="AL12" s="1904"/>
      <c r="AM12" s="1904"/>
      <c r="AN12" s="1904"/>
      <c r="AO12" s="1904"/>
      <c r="AP12" s="1904"/>
      <c r="AQ12" s="1904"/>
      <c r="AR12" s="1905"/>
      <c r="AS12" s="21"/>
      <c r="AT12" s="280"/>
      <c r="AU12" s="280"/>
      <c r="AV12" s="280"/>
      <c r="AW12" s="280"/>
      <c r="AX12" s="280"/>
      <c r="AY12" s="280"/>
      <c r="AZ12" s="280"/>
      <c r="BA12" s="280"/>
      <c r="BB12" s="280"/>
      <c r="BC12" s="280"/>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row>
    <row r="13" spans="1:118" s="107" customFormat="1" ht="24" customHeight="1">
      <c r="A13" s="1932" t="str">
        <f>+CONCATENATE(+ZAKL_DATA!B16)</f>
        <v/>
      </c>
      <c r="B13" s="1933"/>
      <c r="C13" s="1933"/>
      <c r="D13" s="1933"/>
      <c r="E13" s="1933"/>
      <c r="F13" s="1933"/>
      <c r="G13" s="1933"/>
      <c r="H13" s="1933"/>
      <c r="I13" s="1933"/>
      <c r="J13" s="1933"/>
      <c r="K13" s="1933"/>
      <c r="L13" s="1933"/>
      <c r="M13" s="1933"/>
      <c r="N13" s="1933"/>
      <c r="O13" s="1933"/>
      <c r="P13" s="1933"/>
      <c r="Q13" s="1933"/>
      <c r="R13" s="1933"/>
      <c r="S13" s="1933"/>
      <c r="T13" s="1933"/>
      <c r="U13" s="1933"/>
      <c r="V13" s="1933"/>
      <c r="W13" s="1934"/>
      <c r="X13" s="511"/>
      <c r="Y13" s="1924" t="str">
        <f>+CONCATENATE(ZAKL_DATA!B17)</f>
        <v/>
      </c>
      <c r="Z13" s="2056"/>
      <c r="AA13" s="2056"/>
      <c r="AB13" s="2056"/>
      <c r="AC13" s="1925"/>
      <c r="AD13" s="1925"/>
      <c r="AE13" s="1925"/>
      <c r="AF13" s="1926"/>
      <c r="AG13" s="511"/>
      <c r="AH13" s="2057" t="str">
        <f>+CONCATENATE('DAP1'!A9)</f>
        <v/>
      </c>
      <c r="AI13" s="2058"/>
      <c r="AJ13" s="2058"/>
      <c r="AK13" s="2058"/>
      <c r="AL13" s="2058"/>
      <c r="AM13" s="2058"/>
      <c r="AN13" s="2059"/>
      <c r="AO13" s="2059"/>
      <c r="AP13" s="2059"/>
      <c r="AQ13" s="2059"/>
      <c r="AR13" s="2060"/>
      <c r="AS13" s="21"/>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row>
    <row r="14" spans="1:118" s="281" customFormat="1" ht="12.6" customHeight="1">
      <c r="A14" s="1940" t="s">
        <v>204</v>
      </c>
      <c r="B14" s="1896"/>
      <c r="C14" s="1896"/>
      <c r="D14" s="1896"/>
      <c r="E14" s="1896"/>
      <c r="F14" s="1896"/>
      <c r="G14" s="520"/>
      <c r="H14" s="1896" t="s">
        <v>260</v>
      </c>
      <c r="I14" s="1896"/>
      <c r="J14" s="1896"/>
      <c r="K14" s="1896"/>
      <c r="L14" s="1896"/>
      <c r="M14" s="1896"/>
      <c r="N14" s="1896"/>
      <c r="O14" s="1896"/>
      <c r="P14" s="1896"/>
      <c r="Q14" s="1896"/>
      <c r="R14" s="1896"/>
      <c r="S14" s="1896"/>
      <c r="T14" s="1896"/>
      <c r="U14" s="1896"/>
      <c r="V14" s="1896"/>
      <c r="W14" s="1896"/>
      <c r="X14" s="1896"/>
      <c r="Y14" s="1896"/>
      <c r="Z14" s="1896"/>
      <c r="AA14" s="1896"/>
      <c r="AB14" s="1896"/>
      <c r="AC14" s="1896"/>
      <c r="AD14" s="1896"/>
      <c r="AE14" s="1896"/>
      <c r="AF14" s="1896"/>
      <c r="AG14" s="1896"/>
      <c r="AH14" s="1896"/>
      <c r="AI14" s="1896"/>
      <c r="AJ14" s="520"/>
      <c r="AK14" s="1930" t="s">
        <v>3970</v>
      </c>
      <c r="AL14" s="1930"/>
      <c r="AM14" s="1930"/>
      <c r="AN14" s="1930"/>
      <c r="AO14" s="1930"/>
      <c r="AP14" s="1930"/>
      <c r="AQ14" s="1930"/>
      <c r="AR14" s="1931"/>
      <c r="AS14" s="21"/>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row>
    <row r="15" spans="1:118" s="107" customFormat="1" ht="24" customHeight="1">
      <c r="A15" s="1924" t="str">
        <f>CONCATENATE(+ZAKL_DATA!B19)</f>
        <v/>
      </c>
      <c r="B15" s="1925"/>
      <c r="C15" s="1925"/>
      <c r="D15" s="1925"/>
      <c r="E15" s="1925"/>
      <c r="F15" s="1926"/>
      <c r="G15" s="511"/>
      <c r="H15" s="2063" t="str">
        <f>+CONCATENATE(ZAKL_DATA!B18)</f>
        <v/>
      </c>
      <c r="I15" s="2064"/>
      <c r="J15" s="2064"/>
      <c r="K15" s="2064"/>
      <c r="L15" s="2064"/>
      <c r="M15" s="2064"/>
      <c r="N15" s="2064"/>
      <c r="O15" s="2064"/>
      <c r="P15" s="2064"/>
      <c r="Q15" s="2064"/>
      <c r="R15" s="2064"/>
      <c r="S15" s="2064"/>
      <c r="T15" s="2064"/>
      <c r="U15" s="2064"/>
      <c r="V15" s="2064"/>
      <c r="W15" s="2064"/>
      <c r="X15" s="2064"/>
      <c r="Y15" s="2064"/>
      <c r="Z15" s="2064"/>
      <c r="AA15" s="2064"/>
      <c r="AB15" s="2064"/>
      <c r="AC15" s="2064"/>
      <c r="AD15" s="2064"/>
      <c r="AE15" s="2064"/>
      <c r="AF15" s="2064"/>
      <c r="AG15" s="2064"/>
      <c r="AH15" s="2064"/>
      <c r="AI15" s="2065"/>
      <c r="AJ15" s="511"/>
      <c r="AK15" s="1927" t="str">
        <f>+CONCATENATE(+ZAKL_DATA!B10)</f>
        <v/>
      </c>
      <c r="AL15" s="1928"/>
      <c r="AM15" s="1928"/>
      <c r="AN15" s="1928"/>
      <c r="AO15" s="1928"/>
      <c r="AP15" s="1928"/>
      <c r="AQ15" s="1928"/>
      <c r="AR15" s="1929"/>
      <c r="AS15" s="21"/>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row>
    <row r="16" spans="1:118" s="281" customFormat="1" ht="9.9499999999999993" customHeight="1">
      <c r="A16" s="2053" t="s">
        <v>3508</v>
      </c>
      <c r="B16" s="2054"/>
      <c r="C16" s="2054"/>
      <c r="D16" s="2054"/>
      <c r="E16" s="2054"/>
      <c r="F16" s="2054"/>
      <c r="G16" s="2054"/>
      <c r="H16" s="2054"/>
      <c r="I16" s="2054"/>
      <c r="J16" s="2054"/>
      <c r="K16" s="2055"/>
      <c r="L16" s="2055"/>
      <c r="M16" s="2055"/>
      <c r="N16" s="2055"/>
      <c r="O16" s="2055"/>
      <c r="P16" s="2055"/>
      <c r="Q16" s="2055"/>
      <c r="R16" s="2055"/>
      <c r="S16" s="2055"/>
      <c r="T16" s="2055"/>
      <c r="U16" s="2055"/>
      <c r="V16" s="2055"/>
      <c r="W16" s="2055"/>
      <c r="X16" s="2055"/>
      <c r="Y16" s="2055"/>
      <c r="Z16" s="2055"/>
      <c r="AA16" s="2055"/>
      <c r="AB16" s="2055"/>
      <c r="AC16" s="2055"/>
      <c r="AD16" s="2055"/>
      <c r="AE16" s="2055"/>
      <c r="AF16" s="520"/>
      <c r="AG16" s="1896" t="s">
        <v>31</v>
      </c>
      <c r="AH16" s="1896"/>
      <c r="AI16" s="1896"/>
      <c r="AJ16" s="1896"/>
      <c r="AK16" s="1896"/>
      <c r="AL16" s="1896"/>
      <c r="AM16" s="1896"/>
      <c r="AN16" s="1896"/>
      <c r="AO16" s="1896"/>
      <c r="AP16" s="1896"/>
      <c r="AQ16" s="1896"/>
      <c r="AR16" s="1935"/>
      <c r="AS16" s="21"/>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row>
    <row r="17" spans="1:118" s="107" customFormat="1" ht="24" customHeight="1">
      <c r="A17" s="1941" t="str">
        <f>+CONCATENATE(ZAKL_DATA!B32," / ",ZAKL_DATA!B33)</f>
        <v xml:space="preserve"> / </v>
      </c>
      <c r="B17" s="1942"/>
      <c r="C17" s="1942"/>
      <c r="D17" s="1942"/>
      <c r="E17" s="1942"/>
      <c r="F17" s="1942"/>
      <c r="G17" s="1942"/>
      <c r="H17" s="1942"/>
      <c r="I17" s="1942"/>
      <c r="J17" s="1942"/>
      <c r="K17" s="1942"/>
      <c r="L17" s="1942"/>
      <c r="M17" s="1942"/>
      <c r="N17" s="1942"/>
      <c r="O17" s="1942"/>
      <c r="P17" s="1942"/>
      <c r="Q17" s="1942"/>
      <c r="R17" s="1942"/>
      <c r="S17" s="1942"/>
      <c r="T17" s="1942"/>
      <c r="U17" s="1942"/>
      <c r="V17" s="1942"/>
      <c r="W17" s="1942"/>
      <c r="X17" s="1942"/>
      <c r="Y17" s="1942"/>
      <c r="Z17" s="1942"/>
      <c r="AA17" s="1942"/>
      <c r="AB17" s="1942"/>
      <c r="AC17" s="1942"/>
      <c r="AD17" s="1942"/>
      <c r="AE17" s="1943"/>
      <c r="AF17" s="511"/>
      <c r="AG17" s="1906" t="str">
        <f>++CONCATENATE(ZAKL_DATA!B25)</f>
        <v/>
      </c>
      <c r="AH17" s="1907"/>
      <c r="AI17" s="1907"/>
      <c r="AJ17" s="1907"/>
      <c r="AK17" s="1907"/>
      <c r="AL17" s="1907"/>
      <c r="AM17" s="1907"/>
      <c r="AN17" s="1907"/>
      <c r="AO17" s="1907"/>
      <c r="AP17" s="1907"/>
      <c r="AQ17" s="1907"/>
      <c r="AR17" s="1908"/>
      <c r="AS17" s="21"/>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row>
    <row r="18" spans="1:118" s="281" customFormat="1" ht="9.9499999999999993" customHeight="1">
      <c r="A18" s="1940" t="s">
        <v>205</v>
      </c>
      <c r="B18" s="1896"/>
      <c r="C18" s="1896"/>
      <c r="D18" s="1896"/>
      <c r="E18" s="1896"/>
      <c r="F18" s="1896"/>
      <c r="G18" s="1896"/>
      <c r="H18" s="1896"/>
      <c r="I18" s="1896"/>
      <c r="J18" s="1896"/>
      <c r="K18" s="1896"/>
      <c r="L18" s="1896"/>
      <c r="M18" s="1896"/>
      <c r="N18" s="1896"/>
      <c r="O18" s="1896"/>
      <c r="P18" s="1896"/>
      <c r="Q18" s="1896"/>
      <c r="R18" s="1896"/>
      <c r="S18" s="1896"/>
      <c r="T18" s="1896"/>
      <c r="U18" s="1896"/>
      <c r="V18" s="1896"/>
      <c r="W18" s="1896"/>
      <c r="X18" s="1896"/>
      <c r="Y18" s="1896"/>
      <c r="Z18" s="1896"/>
      <c r="AA18" s="1896"/>
      <c r="AB18" s="1896"/>
      <c r="AC18" s="1896"/>
      <c r="AD18" s="1896"/>
      <c r="AE18" s="1896"/>
      <c r="AF18" s="1896"/>
      <c r="AG18" s="1896"/>
      <c r="AH18" s="1896"/>
      <c r="AI18" s="1896"/>
      <c r="AJ18" s="1896"/>
      <c r="AK18" s="1896"/>
      <c r="AL18" s="1896"/>
      <c r="AM18" s="1896"/>
      <c r="AN18" s="1896"/>
      <c r="AO18" s="1896"/>
      <c r="AP18" s="1896"/>
      <c r="AQ18" s="1896"/>
      <c r="AR18" s="1935"/>
      <c r="AS18" s="21"/>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row>
    <row r="19" spans="1:118" s="107" customFormat="1" ht="24" customHeight="1">
      <c r="A19" s="2050" t="str">
        <f>+CONCATENATE(ZAKL_DATA!B27)</f>
        <v/>
      </c>
      <c r="B19" s="1999"/>
      <c r="C19" s="1999"/>
      <c r="D19" s="1999"/>
      <c r="E19" s="1999"/>
      <c r="F19" s="1999"/>
      <c r="G19" s="1999"/>
      <c r="H19" s="1999"/>
      <c r="I19" s="1999"/>
      <c r="J19" s="1999"/>
      <c r="K19" s="1999"/>
      <c r="L19" s="1999"/>
      <c r="M19" s="1999"/>
      <c r="N19" s="1999"/>
      <c r="O19" s="1999"/>
      <c r="P19" s="1999"/>
      <c r="Q19" s="1999"/>
      <c r="R19" s="1999"/>
      <c r="S19" s="1999"/>
      <c r="T19" s="1999"/>
      <c r="U19" s="1999"/>
      <c r="V19" s="1999"/>
      <c r="W19" s="1999"/>
      <c r="X19" s="1999"/>
      <c r="Y19" s="1999"/>
      <c r="Z19" s="1999"/>
      <c r="AA19" s="1999"/>
      <c r="AB19" s="1999"/>
      <c r="AC19" s="1999"/>
      <c r="AD19" s="1999"/>
      <c r="AE19" s="1999"/>
      <c r="AF19" s="1999"/>
      <c r="AG19" s="1999"/>
      <c r="AH19" s="1999"/>
      <c r="AI19" s="1999"/>
      <c r="AJ19" s="1999"/>
      <c r="AK19" s="1999"/>
      <c r="AL19" s="1999"/>
      <c r="AM19" s="1999"/>
      <c r="AN19" s="1999"/>
      <c r="AO19" s="1999"/>
      <c r="AP19" s="1999"/>
      <c r="AQ19" s="1999"/>
      <c r="AR19" s="2000"/>
      <c r="AS19" s="21"/>
      <c r="AT19" s="110"/>
      <c r="AU19" s="110"/>
      <c r="AV19" s="110"/>
      <c r="AW19" s="110"/>
      <c r="AX19" s="110"/>
      <c r="AY19" s="110"/>
      <c r="AZ19" s="110"/>
      <c r="BA19" s="110"/>
      <c r="BB19" s="110"/>
      <c r="BC19" s="110"/>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row>
    <row r="20" spans="1:118" ht="5.0999999999999996" customHeight="1">
      <c r="A20" s="1915"/>
      <c r="B20" s="1917"/>
      <c r="C20" s="1917"/>
      <c r="D20" s="1917"/>
      <c r="E20" s="1917"/>
      <c r="F20" s="1917"/>
      <c r="G20" s="1917"/>
      <c r="H20" s="1917"/>
      <c r="I20" s="1917"/>
      <c r="J20" s="1917"/>
      <c r="K20" s="1917"/>
      <c r="L20" s="1917"/>
      <c r="M20" s="1917"/>
      <c r="N20" s="1917"/>
      <c r="O20" s="1917"/>
      <c r="P20" s="1917"/>
      <c r="Q20" s="1917"/>
      <c r="R20" s="1917"/>
      <c r="S20" s="1917"/>
      <c r="T20" s="1917"/>
      <c r="U20" s="1917"/>
      <c r="V20" s="1917"/>
      <c r="W20" s="1917"/>
      <c r="X20" s="1917"/>
      <c r="Y20" s="1917"/>
      <c r="Z20" s="1917"/>
      <c r="AA20" s="1917"/>
      <c r="AB20" s="1917"/>
      <c r="AC20" s="1917"/>
      <c r="AD20" s="1917"/>
      <c r="AE20" s="1917"/>
      <c r="AF20" s="1917"/>
      <c r="AG20" s="1917"/>
      <c r="AH20" s="1917"/>
      <c r="AI20" s="1917"/>
      <c r="AJ20" s="1917"/>
      <c r="AK20" s="1917"/>
      <c r="AL20" s="1917"/>
      <c r="AM20" s="1917"/>
      <c r="AN20" s="1917"/>
      <c r="AO20" s="1917"/>
      <c r="AP20" s="1917"/>
      <c r="AQ20" s="1917"/>
      <c r="AR20" s="2002"/>
      <c r="AS20" s="21"/>
    </row>
    <row r="21" spans="1:118" ht="15" customHeight="1">
      <c r="A21" s="1936" t="s">
        <v>206</v>
      </c>
      <c r="B21" s="1937"/>
      <c r="C21" s="1937"/>
      <c r="D21" s="1937"/>
      <c r="E21" s="1937"/>
      <c r="F21" s="1937"/>
      <c r="G21" s="1937"/>
      <c r="H21" s="1937"/>
      <c r="I21" s="1937"/>
      <c r="J21" s="1937"/>
      <c r="K21" s="1937"/>
      <c r="L21" s="1937"/>
      <c r="M21" s="1937"/>
      <c r="N21" s="1937"/>
      <c r="O21" s="1937"/>
      <c r="P21" s="1937"/>
      <c r="Q21" s="1937"/>
      <c r="R21" s="1937"/>
      <c r="S21" s="1937"/>
      <c r="T21" s="1937"/>
      <c r="U21" s="1937"/>
      <c r="V21" s="1937"/>
      <c r="W21" s="1937"/>
      <c r="X21" s="1937"/>
      <c r="Y21" s="1937"/>
      <c r="Z21" s="1937"/>
      <c r="AA21" s="1937"/>
      <c r="AB21" s="1937"/>
      <c r="AC21" s="1938"/>
      <c r="AD21" s="1938"/>
      <c r="AE21" s="1938"/>
      <c r="AF21" s="1938"/>
      <c r="AG21" s="1938"/>
      <c r="AH21" s="1938"/>
      <c r="AI21" s="1938"/>
      <c r="AJ21" s="1938"/>
      <c r="AK21" s="1938"/>
      <c r="AL21" s="1938"/>
      <c r="AM21" s="1938"/>
      <c r="AN21" s="1938"/>
      <c r="AO21" s="1938"/>
      <c r="AP21" s="1938"/>
      <c r="AQ21" s="1938"/>
      <c r="AR21" s="1939"/>
      <c r="AS21" s="21"/>
    </row>
    <row r="22" spans="1:118" ht="14.1" customHeight="1">
      <c r="A22" s="525"/>
      <c r="B22" s="1912" t="s">
        <v>3962</v>
      </c>
      <c r="C22" s="1913"/>
      <c r="D22" s="1913"/>
      <c r="E22" s="1913"/>
      <c r="F22" s="1913"/>
      <c r="G22" s="1913"/>
      <c r="H22" s="1913"/>
      <c r="I22" s="1913"/>
      <c r="J22" s="1913"/>
      <c r="K22" s="1913"/>
      <c r="L22" s="1913"/>
      <c r="M22" s="1913"/>
      <c r="N22" s="1913"/>
      <c r="O22" s="1913"/>
      <c r="P22" s="1913"/>
      <c r="Q22" s="1913"/>
      <c r="R22" s="1913"/>
      <c r="S22" s="1913"/>
      <c r="T22" s="1913"/>
      <c r="U22" s="1913"/>
      <c r="V22" s="1913"/>
      <c r="W22" s="1913"/>
      <c r="X22" s="1913"/>
      <c r="Y22" s="1913"/>
      <c r="Z22" s="1913"/>
      <c r="AA22" s="1914"/>
      <c r="AB22" s="2014"/>
      <c r="AC22" s="2015"/>
      <c r="AD22" s="2015"/>
      <c r="AE22" s="2015"/>
      <c r="AF22" s="2015"/>
      <c r="AG22" s="2015"/>
      <c r="AH22" s="2015"/>
      <c r="AI22" s="2015"/>
      <c r="AJ22" s="2015"/>
      <c r="AK22" s="2015"/>
      <c r="AL22" s="2015"/>
      <c r="AM22" s="2015"/>
      <c r="AN22" s="2015"/>
      <c r="AO22" s="2015"/>
      <c r="AP22" s="2015"/>
      <c r="AQ22" s="2015"/>
      <c r="AR22" s="2016"/>
      <c r="AS22" s="21"/>
    </row>
    <row r="23" spans="1:118" ht="14.1" customHeight="1">
      <c r="A23" s="517"/>
      <c r="B23" s="573">
        <v>1</v>
      </c>
      <c r="C23" s="573">
        <v>2</v>
      </c>
      <c r="D23" s="573">
        <v>3</v>
      </c>
      <c r="E23" s="573">
        <v>4</v>
      </c>
      <c r="F23" s="573">
        <v>5</v>
      </c>
      <c r="G23" s="573">
        <v>6</v>
      </c>
      <c r="H23" s="573">
        <v>7</v>
      </c>
      <c r="I23" s="573">
        <v>8</v>
      </c>
      <c r="J23" s="573">
        <v>9</v>
      </c>
      <c r="K23" s="573">
        <v>10</v>
      </c>
      <c r="L23" s="573">
        <v>11</v>
      </c>
      <c r="M23" s="573">
        <v>12</v>
      </c>
      <c r="N23" s="1944" t="s">
        <v>227</v>
      </c>
      <c r="O23" s="1945"/>
      <c r="P23" s="1920"/>
      <c r="Q23" s="655"/>
      <c r="R23" s="655"/>
      <c r="S23" s="655"/>
      <c r="T23" s="655"/>
      <c r="U23" s="655"/>
      <c r="V23" s="655"/>
      <c r="W23" s="655"/>
      <c r="X23" s="655"/>
      <c r="Y23" s="655"/>
      <c r="Z23" s="655"/>
      <c r="AA23" s="1916"/>
      <c r="AB23" s="572"/>
      <c r="AC23" s="524" t="s">
        <v>246</v>
      </c>
      <c r="AD23" s="2001" t="s">
        <v>3959</v>
      </c>
      <c r="AE23" s="2018"/>
      <c r="AF23" s="2018"/>
      <c r="AG23" s="2018"/>
      <c r="AH23" s="2018"/>
      <c r="AI23" s="2018"/>
      <c r="AJ23" s="2018"/>
      <c r="AK23" s="2018"/>
      <c r="AL23" s="2018"/>
      <c r="AM23" s="2018"/>
      <c r="AN23" s="2018"/>
      <c r="AO23" s="2018"/>
      <c r="AP23" s="2018"/>
      <c r="AQ23" s="2018"/>
      <c r="AR23" s="2019"/>
      <c r="AS23" s="21"/>
    </row>
    <row r="24" spans="1:118" ht="14.1" customHeight="1">
      <c r="A24" s="517"/>
      <c r="B24" s="524"/>
      <c r="C24" s="524"/>
      <c r="D24" s="524"/>
      <c r="E24" s="524"/>
      <c r="F24" s="524"/>
      <c r="G24" s="524"/>
      <c r="H24" s="524"/>
      <c r="I24" s="524"/>
      <c r="J24" s="524"/>
      <c r="K24" s="524"/>
      <c r="L24" s="524"/>
      <c r="M24" s="524"/>
      <c r="N24" s="614"/>
      <c r="O24" s="524"/>
      <c r="P24" s="655"/>
      <c r="Q24" s="655"/>
      <c r="R24" s="655"/>
      <c r="S24" s="655"/>
      <c r="T24" s="655"/>
      <c r="U24" s="655"/>
      <c r="V24" s="655"/>
      <c r="W24" s="655"/>
      <c r="X24" s="655"/>
      <c r="Y24" s="655"/>
      <c r="Z24" s="655"/>
      <c r="AA24" s="1916"/>
      <c r="AB24" s="2017"/>
      <c r="AC24" s="655"/>
      <c r="AD24" s="655"/>
      <c r="AE24" s="655"/>
      <c r="AF24" s="655"/>
      <c r="AG24" s="655"/>
      <c r="AH24" s="655"/>
      <c r="AI24" s="655"/>
      <c r="AJ24" s="655"/>
      <c r="AK24" s="655"/>
      <c r="AL24" s="655"/>
      <c r="AM24" s="655"/>
      <c r="AN24" s="655"/>
      <c r="AO24" s="655"/>
      <c r="AP24" s="655"/>
      <c r="AQ24" s="655"/>
      <c r="AR24" s="1916"/>
      <c r="AS24" s="21"/>
    </row>
    <row r="25" spans="1:118" ht="14.1" customHeight="1">
      <c r="A25" s="523"/>
      <c r="B25" s="1912" t="s">
        <v>3963</v>
      </c>
      <c r="C25" s="1913"/>
      <c r="D25" s="1913"/>
      <c r="E25" s="1913"/>
      <c r="F25" s="1913"/>
      <c r="G25" s="1913"/>
      <c r="H25" s="1913"/>
      <c r="I25" s="1913"/>
      <c r="J25" s="1913"/>
      <c r="K25" s="1913"/>
      <c r="L25" s="1913"/>
      <c r="M25" s="1913"/>
      <c r="N25" s="1052"/>
      <c r="O25" s="1913"/>
      <c r="P25" s="1052"/>
      <c r="Q25" s="1052"/>
      <c r="R25" s="1052"/>
      <c r="S25" s="1052"/>
      <c r="T25" s="1052"/>
      <c r="U25" s="1052"/>
      <c r="V25" s="1052"/>
      <c r="W25" s="1052"/>
      <c r="X25" s="1052"/>
      <c r="Y25" s="1052"/>
      <c r="Z25" s="1052"/>
      <c r="AA25" s="2012"/>
      <c r="AB25" s="572"/>
      <c r="AC25" s="524"/>
      <c r="AD25" s="2001" t="s">
        <v>3960</v>
      </c>
      <c r="AE25" s="2018"/>
      <c r="AF25" s="2018"/>
      <c r="AG25" s="2018"/>
      <c r="AH25" s="2018"/>
      <c r="AI25" s="2018"/>
      <c r="AJ25" s="2018"/>
      <c r="AK25" s="2018"/>
      <c r="AL25" s="2018"/>
      <c r="AM25" s="2018"/>
      <c r="AN25" s="2018"/>
      <c r="AO25" s="2018"/>
      <c r="AP25" s="2018"/>
      <c r="AQ25" s="2018"/>
      <c r="AR25" s="2019"/>
      <c r="AS25" s="21"/>
    </row>
    <row r="26" spans="1:118" ht="14.1" customHeight="1">
      <c r="A26" s="517"/>
      <c r="B26" s="573">
        <v>1</v>
      </c>
      <c r="C26" s="573">
        <v>2</v>
      </c>
      <c r="D26" s="573">
        <v>3</v>
      </c>
      <c r="E26" s="573">
        <v>4</v>
      </c>
      <c r="F26" s="573">
        <v>5</v>
      </c>
      <c r="G26" s="573">
        <v>6</v>
      </c>
      <c r="H26" s="573">
        <v>7</v>
      </c>
      <c r="I26" s="573">
        <v>8</v>
      </c>
      <c r="J26" s="573">
        <v>9</v>
      </c>
      <c r="K26" s="573">
        <v>10</v>
      </c>
      <c r="L26" s="573">
        <v>11</v>
      </c>
      <c r="M26" s="573">
        <v>12</v>
      </c>
      <c r="N26" s="1944" t="s">
        <v>227</v>
      </c>
      <c r="O26" s="1945"/>
      <c r="P26" s="1920"/>
      <c r="Q26" s="1920"/>
      <c r="R26" s="1920"/>
      <c r="S26" s="1920"/>
      <c r="T26" s="1918" t="s">
        <v>207</v>
      </c>
      <c r="U26" s="1919"/>
      <c r="V26" s="1919"/>
      <c r="W26" s="1919"/>
      <c r="X26" s="1918" t="s">
        <v>208</v>
      </c>
      <c r="Y26" s="655"/>
      <c r="Z26" s="655"/>
      <c r="AA26" s="1916"/>
      <c r="AB26" s="2017"/>
      <c r="AC26" s="655"/>
      <c r="AD26" s="655"/>
      <c r="AE26" s="655"/>
      <c r="AF26" s="655"/>
      <c r="AG26" s="655"/>
      <c r="AH26" s="655"/>
      <c r="AI26" s="655"/>
      <c r="AJ26" s="655"/>
      <c r="AK26" s="655"/>
      <c r="AL26" s="655"/>
      <c r="AM26" s="655"/>
      <c r="AN26" s="655"/>
      <c r="AO26" s="655"/>
      <c r="AP26" s="655"/>
      <c r="AQ26" s="655"/>
      <c r="AR26" s="1916"/>
      <c r="AS26" s="21"/>
    </row>
    <row r="27" spans="1:118" ht="14.1" customHeight="1">
      <c r="A27" s="517"/>
      <c r="B27" s="524"/>
      <c r="C27" s="524"/>
      <c r="D27" s="524"/>
      <c r="E27" s="524"/>
      <c r="F27" s="524"/>
      <c r="G27" s="524"/>
      <c r="H27" s="524"/>
      <c r="I27" s="524"/>
      <c r="J27" s="524"/>
      <c r="K27" s="524"/>
      <c r="L27" s="524"/>
      <c r="M27" s="524"/>
      <c r="N27" s="512"/>
      <c r="O27" s="524"/>
      <c r="P27" s="1898" t="s">
        <v>3509</v>
      </c>
      <c r="Q27" s="1899"/>
      <c r="R27" s="1899"/>
      <c r="S27" s="1899"/>
      <c r="T27" s="524"/>
      <c r="U27" s="1917"/>
      <c r="V27" s="1917"/>
      <c r="W27" s="1917"/>
      <c r="X27" s="524"/>
      <c r="Y27" s="1915"/>
      <c r="Z27" s="655"/>
      <c r="AA27" s="1916"/>
      <c r="AB27" s="572"/>
      <c r="AC27" s="524"/>
      <c r="AD27" s="2001" t="s">
        <v>3961</v>
      </c>
      <c r="AE27" s="2018"/>
      <c r="AF27" s="2018"/>
      <c r="AG27" s="2018"/>
      <c r="AH27" s="2018"/>
      <c r="AI27" s="2018"/>
      <c r="AJ27" s="2018"/>
      <c r="AK27" s="2018"/>
      <c r="AL27" s="2018"/>
      <c r="AM27" s="2018"/>
      <c r="AN27" s="2018"/>
      <c r="AO27" s="2018"/>
      <c r="AP27" s="2018"/>
      <c r="AQ27" s="2018"/>
      <c r="AR27" s="2019"/>
      <c r="AS27" s="21"/>
    </row>
    <row r="28" spans="1:118" ht="14.1" customHeight="1">
      <c r="A28" s="523"/>
      <c r="B28" s="2011" t="s">
        <v>3964</v>
      </c>
      <c r="C28" s="1052"/>
      <c r="D28" s="1052"/>
      <c r="E28" s="1052"/>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2012"/>
      <c r="AB28" s="2017"/>
      <c r="AC28" s="655"/>
      <c r="AD28" s="655"/>
      <c r="AE28" s="655"/>
      <c r="AF28" s="655"/>
      <c r="AG28" s="655"/>
      <c r="AH28" s="655"/>
      <c r="AI28" s="655"/>
      <c r="AJ28" s="655"/>
      <c r="AK28" s="655"/>
      <c r="AL28" s="655"/>
      <c r="AM28" s="655"/>
      <c r="AN28" s="655"/>
      <c r="AO28" s="655"/>
      <c r="AP28" s="655"/>
      <c r="AQ28" s="655"/>
      <c r="AR28" s="1916"/>
      <c r="AS28" s="21"/>
    </row>
    <row r="29" spans="1:118" ht="13.5" customHeight="1">
      <c r="A29" s="517"/>
      <c r="B29" s="573">
        <v>1</v>
      </c>
      <c r="C29" s="573">
        <v>2</v>
      </c>
      <c r="D29" s="573">
        <v>3</v>
      </c>
      <c r="E29" s="573">
        <v>4</v>
      </c>
      <c r="F29" s="573">
        <v>5</v>
      </c>
      <c r="G29" s="573">
        <v>6</v>
      </c>
      <c r="H29" s="573">
        <v>7</v>
      </c>
      <c r="I29" s="573">
        <v>8</v>
      </c>
      <c r="J29" s="573">
        <v>9</v>
      </c>
      <c r="K29" s="573">
        <v>10</v>
      </c>
      <c r="L29" s="573">
        <v>11</v>
      </c>
      <c r="M29" s="573">
        <v>12</v>
      </c>
      <c r="N29" s="1944" t="s">
        <v>227</v>
      </c>
      <c r="O29" s="1945"/>
      <c r="P29" s="1920"/>
      <c r="Q29" s="1920"/>
      <c r="R29" s="1920"/>
      <c r="S29" s="1920"/>
      <c r="T29" s="521" t="s">
        <v>222</v>
      </c>
      <c r="U29" s="521" t="s">
        <v>223</v>
      </c>
      <c r="V29" s="521" t="s">
        <v>209</v>
      </c>
      <c r="W29" s="521" t="s">
        <v>210</v>
      </c>
      <c r="X29" s="521" t="s">
        <v>211</v>
      </c>
      <c r="Y29" s="521" t="s">
        <v>212</v>
      </c>
      <c r="Z29" s="609"/>
      <c r="AA29" s="607"/>
      <c r="AB29" s="572"/>
      <c r="AC29" s="524"/>
      <c r="AD29" s="2001" t="s">
        <v>3846</v>
      </c>
      <c r="AE29" s="2018"/>
      <c r="AF29" s="2018"/>
      <c r="AG29" s="2018"/>
      <c r="AH29" s="2018"/>
      <c r="AI29" s="2018"/>
      <c r="AJ29" s="2018"/>
      <c r="AK29" s="2018"/>
      <c r="AL29" s="2018"/>
      <c r="AM29" s="2018"/>
      <c r="AN29" s="2018"/>
      <c r="AO29" s="2018"/>
      <c r="AP29" s="2018"/>
      <c r="AQ29" s="2018"/>
      <c r="AR29" s="2019"/>
      <c r="AS29" s="21"/>
    </row>
    <row r="30" spans="1:118" ht="13.5" customHeight="1">
      <c r="A30" s="517"/>
      <c r="B30" s="524"/>
      <c r="C30" s="524"/>
      <c r="D30" s="524"/>
      <c r="E30" s="524"/>
      <c r="F30" s="524"/>
      <c r="G30" s="524"/>
      <c r="H30" s="524"/>
      <c r="I30" s="524"/>
      <c r="J30" s="524"/>
      <c r="K30" s="524"/>
      <c r="L30" s="524"/>
      <c r="M30" s="524"/>
      <c r="N30" s="512"/>
      <c r="O30" s="524"/>
      <c r="P30" s="1898" t="s">
        <v>3509</v>
      </c>
      <c r="Q30" s="1899"/>
      <c r="R30" s="1899"/>
      <c r="S30" s="1899"/>
      <c r="T30" s="524"/>
      <c r="U30" s="524"/>
      <c r="V30" s="524"/>
      <c r="W30" s="524"/>
      <c r="X30" s="524"/>
      <c r="Y30" s="524"/>
      <c r="Z30" s="606"/>
      <c r="AA30" s="607"/>
      <c r="AB30" s="2017"/>
      <c r="AC30" s="655"/>
      <c r="AD30" s="655"/>
      <c r="AE30" s="655"/>
      <c r="AF30" s="655"/>
      <c r="AG30" s="655"/>
      <c r="AH30" s="655"/>
      <c r="AI30" s="655"/>
      <c r="AJ30" s="655"/>
      <c r="AK30" s="655"/>
      <c r="AL30" s="655"/>
      <c r="AM30" s="655"/>
      <c r="AN30" s="655"/>
      <c r="AO30" s="655"/>
      <c r="AP30" s="655"/>
      <c r="AQ30" s="655"/>
      <c r="AR30" s="1916"/>
      <c r="AS30" s="21"/>
      <c r="AY30" s="21">
        <f>+IF(EXACT(O30,"X"),12,0)</f>
        <v>0</v>
      </c>
      <c r="AZ30" s="21">
        <f>+IF(EXACT(B30,"X"),1,0)</f>
        <v>0</v>
      </c>
      <c r="BA30" s="21">
        <f t="shared" ref="BA30:BK30" si="0">+IF(EXACT(C30,"X"),1,0)</f>
        <v>0</v>
      </c>
      <c r="BB30" s="21">
        <f t="shared" si="0"/>
        <v>0</v>
      </c>
      <c r="BC30" s="21">
        <f t="shared" si="0"/>
        <v>0</v>
      </c>
      <c r="BD30" s="21">
        <f t="shared" si="0"/>
        <v>0</v>
      </c>
      <c r="BE30" s="21">
        <f t="shared" si="0"/>
        <v>0</v>
      </c>
      <c r="BF30" s="21">
        <f t="shared" si="0"/>
        <v>0</v>
      </c>
      <c r="BG30" s="21">
        <f t="shared" si="0"/>
        <v>0</v>
      </c>
      <c r="BH30" s="21">
        <f t="shared" si="0"/>
        <v>0</v>
      </c>
      <c r="BI30" s="21">
        <f t="shared" si="0"/>
        <v>0</v>
      </c>
      <c r="BJ30" s="21">
        <f t="shared" si="0"/>
        <v>0</v>
      </c>
      <c r="BK30" s="21">
        <f t="shared" si="0"/>
        <v>0</v>
      </c>
      <c r="BL30" s="21">
        <f>+IF(AY30=12,12,+SUM(AZ30:BK30))</f>
        <v>0</v>
      </c>
    </row>
    <row r="31" spans="1:118" ht="13.5" customHeight="1">
      <c r="A31" s="517"/>
      <c r="B31" s="1900" t="s">
        <v>3763</v>
      </c>
      <c r="C31" s="1901"/>
      <c r="D31" s="1901"/>
      <c r="E31" s="1901"/>
      <c r="F31" s="1901"/>
      <c r="G31" s="1901"/>
      <c r="H31" s="1918" t="s">
        <v>3920</v>
      </c>
      <c r="I31" s="2029"/>
      <c r="J31" s="2029"/>
      <c r="K31" s="2029"/>
      <c r="L31" s="2029"/>
      <c r="M31" s="2029"/>
      <c r="N31" s="2029"/>
      <c r="O31" s="2029"/>
      <c r="P31" s="2029"/>
      <c r="Q31" s="2029"/>
      <c r="R31" s="2029"/>
      <c r="S31" s="2029"/>
      <c r="T31" s="2029"/>
      <c r="U31" s="2029"/>
      <c r="V31" s="2029"/>
      <c r="W31" s="2029"/>
      <c r="X31" s="2029"/>
      <c r="Y31" s="2029"/>
      <c r="Z31" s="2029"/>
      <c r="AA31" s="608"/>
      <c r="AB31" s="572"/>
      <c r="AC31" s="524"/>
      <c r="AD31" s="2001" t="s">
        <v>3926</v>
      </c>
      <c r="AE31" s="2018"/>
      <c r="AF31" s="2018"/>
      <c r="AG31" s="2018"/>
      <c r="AH31" s="2018"/>
      <c r="AI31" s="2018"/>
      <c r="AJ31" s="2018"/>
      <c r="AK31" s="2018"/>
      <c r="AL31" s="2018"/>
      <c r="AM31" s="2018"/>
      <c r="AN31" s="2018"/>
      <c r="AO31" s="2018"/>
      <c r="AP31" s="2018"/>
      <c r="AQ31" s="2018"/>
      <c r="AR31" s="2019"/>
      <c r="AS31" s="21"/>
    </row>
    <row r="32" spans="1:118" ht="18" customHeight="1">
      <c r="A32" s="517"/>
      <c r="B32" s="1902"/>
      <c r="C32" s="1902"/>
      <c r="D32" s="1902"/>
      <c r="E32" s="1902"/>
      <c r="F32" s="1902"/>
      <c r="G32" s="1902"/>
      <c r="H32" s="1921"/>
      <c r="I32" s="1922"/>
      <c r="J32" s="1922"/>
      <c r="K32" s="1922"/>
      <c r="L32" s="1922"/>
      <c r="M32" s="1922"/>
      <c r="N32" s="1922"/>
      <c r="O32" s="1922"/>
      <c r="P32" s="1923"/>
      <c r="Q32" s="561"/>
      <c r="R32" s="1921"/>
      <c r="S32" s="1922"/>
      <c r="T32" s="1922"/>
      <c r="U32" s="1922"/>
      <c r="V32" s="1922"/>
      <c r="W32" s="1922"/>
      <c r="X32" s="1922"/>
      <c r="Y32" s="1922"/>
      <c r="Z32" s="1923"/>
      <c r="AA32" s="561"/>
      <c r="AB32" s="2001"/>
      <c r="AC32" s="1052"/>
      <c r="AD32" s="1052"/>
      <c r="AE32" s="1052"/>
      <c r="AF32" s="1052"/>
      <c r="AG32" s="1052"/>
      <c r="AH32" s="1052"/>
      <c r="AI32" s="1052"/>
      <c r="AJ32" s="655"/>
      <c r="AK32" s="655"/>
      <c r="AL32" s="655"/>
      <c r="AM32" s="655"/>
      <c r="AN32" s="655"/>
      <c r="AO32" s="655"/>
      <c r="AP32" s="655"/>
      <c r="AQ32" s="655"/>
      <c r="AR32" s="1916"/>
      <c r="AS32" s="21"/>
    </row>
    <row r="33" spans="1:55" ht="6" customHeight="1">
      <c r="A33" s="2008"/>
      <c r="B33" s="2009"/>
      <c r="C33" s="2009"/>
      <c r="D33" s="2009"/>
      <c r="E33" s="2009"/>
      <c r="F33" s="2009"/>
      <c r="G33" s="2009"/>
      <c r="H33" s="2009"/>
      <c r="I33" s="2009"/>
      <c r="J33" s="2009"/>
      <c r="K33" s="2009"/>
      <c r="L33" s="2009"/>
      <c r="M33" s="2009"/>
      <c r="N33" s="2009"/>
      <c r="O33" s="2009"/>
      <c r="P33" s="2009"/>
      <c r="Q33" s="2009"/>
      <c r="R33" s="2009"/>
      <c r="S33" s="2009"/>
      <c r="T33" s="2009"/>
      <c r="U33" s="2009"/>
      <c r="V33" s="2009"/>
      <c r="W33" s="2009"/>
      <c r="X33" s="2009"/>
      <c r="Y33" s="2009"/>
      <c r="Z33" s="2009"/>
      <c r="AA33" s="2010"/>
      <c r="AB33" s="2030"/>
      <c r="AC33" s="2009"/>
      <c r="AD33" s="2009"/>
      <c r="AE33" s="2009"/>
      <c r="AF33" s="2009"/>
      <c r="AG33" s="2009"/>
      <c r="AH33" s="2009"/>
      <c r="AI33" s="2009"/>
      <c r="AJ33" s="2009"/>
      <c r="AK33" s="2009"/>
      <c r="AL33" s="2009"/>
      <c r="AM33" s="2009"/>
      <c r="AN33" s="2009"/>
      <c r="AO33" s="2009"/>
      <c r="AP33" s="2009"/>
      <c r="AQ33" s="2009"/>
      <c r="AR33" s="2010"/>
      <c r="AS33" s="21"/>
    </row>
    <row r="34" spans="1:55" ht="15" customHeight="1">
      <c r="A34" s="1936" t="s">
        <v>331</v>
      </c>
      <c r="B34" s="1938"/>
      <c r="C34" s="1938"/>
      <c r="D34" s="1938"/>
      <c r="E34" s="1938"/>
      <c r="F34" s="1938"/>
      <c r="G34" s="1938"/>
      <c r="H34" s="1938"/>
      <c r="I34" s="1938"/>
      <c r="J34" s="1938"/>
      <c r="K34" s="1938"/>
      <c r="L34" s="1938"/>
      <c r="M34" s="1938"/>
      <c r="N34" s="1938"/>
      <c r="O34" s="1938"/>
      <c r="P34" s="1938"/>
      <c r="Q34" s="1938"/>
      <c r="R34" s="1938"/>
      <c r="S34" s="1938"/>
      <c r="T34" s="1938"/>
      <c r="U34" s="1938"/>
      <c r="V34" s="1939"/>
      <c r="W34" s="2020" t="s">
        <v>3510</v>
      </c>
      <c r="X34" s="2020"/>
      <c r="Y34" s="2020"/>
      <c r="Z34" s="2020"/>
      <c r="AA34" s="2020"/>
      <c r="AB34" s="2020"/>
      <c r="AC34" s="2020"/>
      <c r="AD34" s="2020"/>
      <c r="AE34" s="2020"/>
      <c r="AF34" s="2020"/>
      <c r="AG34" s="2020"/>
      <c r="AH34" s="2020"/>
      <c r="AI34" s="2020"/>
      <c r="AJ34" s="2020"/>
      <c r="AK34" s="2020"/>
      <c r="AL34" s="2020"/>
      <c r="AM34" s="2021"/>
      <c r="AN34" s="2021"/>
      <c r="AO34" s="2021"/>
      <c r="AP34" s="2021"/>
      <c r="AQ34" s="2021"/>
      <c r="AR34" s="2021"/>
      <c r="AS34" s="21"/>
    </row>
    <row r="35" spans="1:55" ht="18" customHeight="1">
      <c r="A35" s="517"/>
      <c r="B35" s="2072"/>
      <c r="C35" s="2072"/>
      <c r="D35" s="2072"/>
      <c r="E35" s="2072"/>
      <c r="F35" s="2072"/>
      <c r="G35" s="2072"/>
      <c r="H35" s="2072"/>
      <c r="I35" s="2071" t="s">
        <v>3848</v>
      </c>
      <c r="J35" s="2071"/>
      <c r="K35" s="2071"/>
      <c r="L35" s="2071"/>
      <c r="M35" s="2071"/>
      <c r="N35" s="2071"/>
      <c r="O35" s="2071"/>
      <c r="P35" s="2071"/>
      <c r="Q35" s="2071"/>
      <c r="R35" s="2071"/>
      <c r="S35" s="2071"/>
      <c r="T35" s="1917"/>
      <c r="U35" s="1972"/>
      <c r="V35" s="1973"/>
      <c r="W35" s="2022" t="s">
        <v>3965</v>
      </c>
      <c r="X35" s="2022"/>
      <c r="Y35" s="2022"/>
      <c r="Z35" s="2022"/>
      <c r="AA35" s="2022"/>
      <c r="AB35" s="2022"/>
      <c r="AC35" s="2022"/>
      <c r="AD35" s="2022"/>
      <c r="AE35" s="2022"/>
      <c r="AF35" s="2022"/>
      <c r="AG35" s="2022"/>
      <c r="AH35" s="2022"/>
      <c r="AI35" s="2022"/>
      <c r="AJ35" s="2022"/>
      <c r="AK35" s="2022"/>
      <c r="AL35" s="2022"/>
      <c r="AM35" s="2022"/>
      <c r="AN35" s="2022"/>
      <c r="AO35" s="2022"/>
      <c r="AP35" s="2022"/>
      <c r="AQ35" s="2022"/>
      <c r="AR35" s="2023"/>
      <c r="AS35" s="21"/>
    </row>
    <row r="36" spans="1:55" ht="18" customHeight="1">
      <c r="A36" s="518"/>
      <c r="B36" s="1996" t="s">
        <v>3847</v>
      </c>
      <c r="C36" s="1997"/>
      <c r="D36" s="1997"/>
      <c r="E36" s="1997"/>
      <c r="F36" s="1997"/>
      <c r="G36" s="1997"/>
      <c r="H36" s="1997"/>
      <c r="I36" s="1909">
        <f>+IF(AND('1Př1'!F11=0,'1Př1'!F12=0),+'1Př1'!F14+'1Př1'!F15-'1Př1'!F17+'1Př1'!F19+'1Př1'!F22-('1Př1'!F12+'1Př1'!F16-'1Př1'!F18+'1Př1'!F20),+'1Př1'!F11+'1Př1'!F15-'1Př1'!F17+'1Př1'!F19+'1Př1'!F22-('1Př1'!F12+'1Př1'!F16-'1Př1'!F18+'1Př1'!F20))</f>
        <v>0</v>
      </c>
      <c r="J36" s="1910"/>
      <c r="K36" s="1910"/>
      <c r="L36" s="1910"/>
      <c r="M36" s="1910"/>
      <c r="N36" s="1910"/>
      <c r="O36" s="1910"/>
      <c r="P36" s="1910"/>
      <c r="Q36" s="1910"/>
      <c r="R36" s="1910"/>
      <c r="S36" s="1911"/>
      <c r="T36" s="1979" t="s">
        <v>193</v>
      </c>
      <c r="U36" s="1980"/>
      <c r="V36" s="1981"/>
      <c r="W36" s="526"/>
      <c r="X36" s="1996" t="s">
        <v>337</v>
      </c>
      <c r="Y36" s="1980"/>
      <c r="Z36" s="1980"/>
      <c r="AA36" s="1980"/>
      <c r="AB36" s="1980"/>
      <c r="AC36" s="1980"/>
      <c r="AD36" s="1980"/>
      <c r="AE36" s="1976">
        <v>0</v>
      </c>
      <c r="AF36" s="2024"/>
      <c r="AG36" s="2024"/>
      <c r="AH36" s="2024"/>
      <c r="AI36" s="2024"/>
      <c r="AJ36" s="2024"/>
      <c r="AK36" s="2024"/>
      <c r="AL36" s="2024"/>
      <c r="AM36" s="2024"/>
      <c r="AN36" s="2025"/>
      <c r="AO36" s="1979" t="s">
        <v>193</v>
      </c>
      <c r="AP36" s="1980"/>
      <c r="AQ36" s="1980"/>
      <c r="AR36" s="1981"/>
      <c r="AS36" s="21"/>
    </row>
    <row r="37" spans="1:55" ht="18" customHeight="1">
      <c r="A37" s="518"/>
      <c r="B37" s="2026" t="s">
        <v>3966</v>
      </c>
      <c r="C37" s="2027"/>
      <c r="D37" s="2027"/>
      <c r="E37" s="2027"/>
      <c r="F37" s="2027"/>
      <c r="G37" s="2027"/>
      <c r="H37" s="2027"/>
      <c r="I37" s="2027"/>
      <c r="J37" s="2027"/>
      <c r="K37" s="2027"/>
      <c r="L37" s="2027"/>
      <c r="M37" s="2027"/>
      <c r="N37" s="2027"/>
      <c r="O37" s="2027"/>
      <c r="P37" s="2027"/>
      <c r="Q37" s="2027"/>
      <c r="R37" s="2027"/>
      <c r="S37" s="2027"/>
      <c r="T37" s="2027"/>
      <c r="U37" s="2027"/>
      <c r="V37" s="2028"/>
      <c r="W37" s="2022" t="s">
        <v>3853</v>
      </c>
      <c r="X37" s="2022"/>
      <c r="Y37" s="2022"/>
      <c r="Z37" s="2022"/>
      <c r="AA37" s="2022"/>
      <c r="AB37" s="2022"/>
      <c r="AC37" s="2022"/>
      <c r="AD37" s="2022"/>
      <c r="AE37" s="2022"/>
      <c r="AF37" s="2022"/>
      <c r="AG37" s="2022"/>
      <c r="AH37" s="2022"/>
      <c r="AI37" s="2022"/>
      <c r="AJ37" s="2022"/>
      <c r="AK37" s="2022"/>
      <c r="AL37" s="2022"/>
      <c r="AM37" s="2022"/>
      <c r="AN37" s="2022"/>
      <c r="AO37" s="2022"/>
      <c r="AP37" s="2022"/>
      <c r="AQ37" s="2022"/>
      <c r="AR37" s="2023"/>
      <c r="AS37" s="21"/>
    </row>
    <row r="38" spans="1:55" ht="18" customHeight="1">
      <c r="A38" s="518"/>
      <c r="B38" s="1996" t="s">
        <v>332</v>
      </c>
      <c r="C38" s="1997"/>
      <c r="D38" s="1997"/>
      <c r="E38" s="1997"/>
      <c r="F38" s="1997"/>
      <c r="G38" s="1997"/>
      <c r="H38" s="1997"/>
      <c r="I38" s="1997"/>
      <c r="J38" s="1997"/>
      <c r="K38" s="1997"/>
      <c r="L38" s="1997"/>
      <c r="M38" s="1997"/>
      <c r="N38" s="1985">
        <f>+'1Př2'!G3</f>
        <v>12</v>
      </c>
      <c r="O38" s="1986"/>
      <c r="P38" s="1987"/>
      <c r="Q38" s="1988"/>
      <c r="R38" s="1988"/>
      <c r="S38" s="1988"/>
      <c r="T38" s="1988"/>
      <c r="U38" s="1988"/>
      <c r="V38" s="1989"/>
      <c r="W38" s="526"/>
      <c r="X38" s="1996" t="s">
        <v>178</v>
      </c>
      <c r="Y38" s="1997"/>
      <c r="Z38" s="1997"/>
      <c r="AA38" s="1997"/>
      <c r="AB38" s="1997"/>
      <c r="AC38" s="1997"/>
      <c r="AD38" s="1997"/>
      <c r="AE38" s="2034">
        <f>+AE36-I49</f>
        <v>-35614</v>
      </c>
      <c r="AF38" s="2035"/>
      <c r="AG38" s="2035"/>
      <c r="AH38" s="2035"/>
      <c r="AI38" s="2035"/>
      <c r="AJ38" s="2035"/>
      <c r="AK38" s="2035"/>
      <c r="AL38" s="2035"/>
      <c r="AM38" s="2035"/>
      <c r="AN38" s="2036"/>
      <c r="AO38" s="1979" t="s">
        <v>193</v>
      </c>
      <c r="AP38" s="1980"/>
      <c r="AQ38" s="1980"/>
      <c r="AR38" s="1981"/>
      <c r="AS38" s="21"/>
    </row>
    <row r="39" spans="1:55" ht="18" customHeight="1">
      <c r="A39" s="518"/>
      <c r="B39" s="2026" t="s">
        <v>3726</v>
      </c>
      <c r="C39" s="2027"/>
      <c r="D39" s="2027"/>
      <c r="E39" s="2027"/>
      <c r="F39" s="2027"/>
      <c r="G39" s="2027"/>
      <c r="H39" s="2027"/>
      <c r="I39" s="2027"/>
      <c r="J39" s="2027"/>
      <c r="K39" s="2027"/>
      <c r="L39" s="2027"/>
      <c r="M39" s="2027"/>
      <c r="N39" s="2027"/>
      <c r="O39" s="2027"/>
      <c r="P39" s="2027"/>
      <c r="Q39" s="2027"/>
      <c r="R39" s="2027"/>
      <c r="S39" s="2027"/>
      <c r="T39" s="2027"/>
      <c r="U39" s="2027"/>
      <c r="V39" s="2028"/>
      <c r="W39" s="2003"/>
      <c r="X39" s="1052"/>
      <c r="Y39" s="1052"/>
      <c r="Z39" s="1052"/>
      <c r="AA39" s="1052"/>
      <c r="AB39" s="1052"/>
      <c r="AC39" s="1052"/>
      <c r="AD39" s="1052"/>
      <c r="AE39" s="1052"/>
      <c r="AF39" s="1052"/>
      <c r="AG39" s="1052"/>
      <c r="AH39" s="1052"/>
      <c r="AI39" s="1052"/>
      <c r="AJ39" s="1052"/>
      <c r="AK39" s="1052"/>
      <c r="AL39" s="1052"/>
      <c r="AM39" s="1052"/>
      <c r="AN39" s="1052"/>
      <c r="AO39" s="1052"/>
      <c r="AP39" s="1052"/>
      <c r="AQ39" s="1052"/>
      <c r="AR39" s="2012"/>
      <c r="AS39" s="21"/>
    </row>
    <row r="40" spans="1:55" ht="18" customHeight="1">
      <c r="A40" s="571" t="s">
        <v>3764</v>
      </c>
      <c r="B40" s="1996" t="s">
        <v>3849</v>
      </c>
      <c r="C40" s="1997"/>
      <c r="D40" s="1997"/>
      <c r="E40" s="1997"/>
      <c r="F40" s="1997"/>
      <c r="G40" s="1997"/>
      <c r="H40" s="1997"/>
      <c r="I40" s="1997"/>
      <c r="J40" s="1997"/>
      <c r="K40" s="1997"/>
      <c r="L40" s="1997"/>
      <c r="M40" s="1997"/>
      <c r="N40" s="1985">
        <v>12</v>
      </c>
      <c r="O40" s="1986"/>
      <c r="P40" s="1987"/>
      <c r="Q40" s="1988"/>
      <c r="R40" s="1988"/>
      <c r="S40" s="1988"/>
      <c r="T40" s="1988"/>
      <c r="U40" s="1988"/>
      <c r="V40" s="1989"/>
      <c r="W40" s="526"/>
      <c r="X40" s="1979" t="s">
        <v>338</v>
      </c>
      <c r="Y40" s="1979"/>
      <c r="Z40" s="1979"/>
      <c r="AA40" s="1979"/>
      <c r="AB40" s="1979"/>
      <c r="AC40" s="1979"/>
      <c r="AD40" s="1979"/>
      <c r="AE40" s="1979"/>
      <c r="AF40" s="1979"/>
      <c r="AG40" s="1979"/>
      <c r="AH40" s="1979"/>
      <c r="AI40" s="1979"/>
      <c r="AJ40" s="1979"/>
      <c r="AK40" s="1979"/>
      <c r="AL40" s="1979"/>
      <c r="AM40" s="1979"/>
      <c r="AN40" s="1979"/>
      <c r="AO40" s="1979"/>
      <c r="AP40" s="1979"/>
      <c r="AQ40" s="1979"/>
      <c r="AR40" s="2013"/>
      <c r="AS40" s="21"/>
    </row>
    <row r="41" spans="1:55" ht="18" customHeight="1">
      <c r="A41" s="518"/>
      <c r="B41" s="2022" t="s">
        <v>333</v>
      </c>
      <c r="C41" s="2069"/>
      <c r="D41" s="2069"/>
      <c r="E41" s="2069"/>
      <c r="F41" s="2069"/>
      <c r="G41" s="2069"/>
      <c r="H41" s="2069"/>
      <c r="I41" s="2069"/>
      <c r="J41" s="2069"/>
      <c r="K41" s="2069"/>
      <c r="L41" s="2069"/>
      <c r="M41" s="2069"/>
      <c r="N41" s="2069"/>
      <c r="O41" s="2069"/>
      <c r="P41" s="2069"/>
      <c r="Q41" s="2069"/>
      <c r="R41" s="2069"/>
      <c r="S41" s="2069"/>
      <c r="T41" s="2069"/>
      <c r="U41" s="2069"/>
      <c r="V41" s="2070"/>
      <c r="W41" s="526"/>
      <c r="X41" s="524" t="str">
        <f>+IF(AE38&lt;0,"X"," ")</f>
        <v>X</v>
      </c>
      <c r="Y41" s="1974" t="s">
        <v>3973</v>
      </c>
      <c r="Z41" s="1974"/>
      <c r="AA41" s="1974"/>
      <c r="AB41" s="1974"/>
      <c r="AC41" s="1974"/>
      <c r="AD41" s="1974"/>
      <c r="AE41" s="1974"/>
      <c r="AF41" s="1974"/>
      <c r="AG41" s="1974"/>
      <c r="AH41" s="1974"/>
      <c r="AI41" s="1974"/>
      <c r="AJ41" s="1974"/>
      <c r="AK41" s="1974"/>
      <c r="AL41" s="1974"/>
      <c r="AM41" s="1974"/>
      <c r="AN41" s="1974"/>
      <c r="AO41" s="1974"/>
      <c r="AP41" s="1974"/>
      <c r="AQ41" s="1974"/>
      <c r="AR41" s="1975"/>
      <c r="AS41" s="21"/>
      <c r="AT41" s="20"/>
      <c r="AU41" s="20"/>
      <c r="AV41" s="20"/>
      <c r="AW41" s="20"/>
      <c r="AX41" s="20"/>
      <c r="AY41" s="20"/>
      <c r="AZ41" s="20"/>
      <c r="BA41" s="20"/>
      <c r="BB41" s="20"/>
      <c r="BC41" s="20"/>
    </row>
    <row r="42" spans="1:55" ht="18" customHeight="1">
      <c r="A42" s="518"/>
      <c r="B42" s="1996" t="s">
        <v>334</v>
      </c>
      <c r="C42" s="1997"/>
      <c r="D42" s="1997"/>
      <c r="E42" s="1997"/>
      <c r="F42" s="1997"/>
      <c r="G42" s="1997"/>
      <c r="H42" s="1997"/>
      <c r="I42" s="1997"/>
      <c r="J42" s="1997"/>
      <c r="K42" s="1997"/>
      <c r="L42" s="1997"/>
      <c r="M42" s="1997"/>
      <c r="N42" s="1985">
        <f>12-BL30</f>
        <v>12</v>
      </c>
      <c r="O42" s="1986"/>
      <c r="P42" s="1987"/>
      <c r="Q42" s="1988"/>
      <c r="R42" s="1988"/>
      <c r="S42" s="1988"/>
      <c r="T42" s="1988"/>
      <c r="U42" s="1988"/>
      <c r="V42" s="1989"/>
      <c r="W42" s="526"/>
      <c r="X42" s="524" t="str">
        <f>+IF(AE38&gt;0,"X"," ")</f>
        <v xml:space="preserve"> </v>
      </c>
      <c r="Y42" s="1974" t="s">
        <v>3596</v>
      </c>
      <c r="Z42" s="1980"/>
      <c r="AA42" s="1980"/>
      <c r="AB42" s="1980"/>
      <c r="AC42" s="1980"/>
      <c r="AD42" s="1980"/>
      <c r="AE42" s="1980"/>
      <c r="AF42" s="1980"/>
      <c r="AG42" s="1980"/>
      <c r="AH42" s="1976">
        <f>+MAX(0,AE38)</f>
        <v>0</v>
      </c>
      <c r="AI42" s="1977"/>
      <c r="AJ42" s="1977"/>
      <c r="AK42" s="1977"/>
      <c r="AL42" s="1977"/>
      <c r="AM42" s="1977"/>
      <c r="AN42" s="1977"/>
      <c r="AO42" s="1978"/>
      <c r="AP42" s="1979" t="s">
        <v>193</v>
      </c>
      <c r="AQ42" s="1980"/>
      <c r="AR42" s="1981"/>
      <c r="AS42" s="21"/>
      <c r="AT42" s="20"/>
      <c r="AU42" s="20"/>
      <c r="AV42" s="20"/>
      <c r="AW42" s="20"/>
      <c r="AX42" s="20"/>
      <c r="AY42" s="20"/>
      <c r="AZ42" s="20"/>
      <c r="BA42" s="20"/>
      <c r="BB42" s="20"/>
      <c r="BC42" s="20"/>
    </row>
    <row r="43" spans="1:55" ht="18" customHeight="1">
      <c r="A43" s="518"/>
      <c r="B43" s="1995"/>
      <c r="C43" s="1995"/>
      <c r="D43" s="1995"/>
      <c r="E43" s="1995"/>
      <c r="F43" s="1995"/>
      <c r="G43" s="1995"/>
      <c r="H43" s="1995"/>
      <c r="I43" s="1994" t="s">
        <v>3971</v>
      </c>
      <c r="J43" s="1994"/>
      <c r="K43" s="1994"/>
      <c r="L43" s="1994"/>
      <c r="M43" s="1994"/>
      <c r="N43" s="1994"/>
      <c r="O43" s="1994"/>
      <c r="P43" s="1994"/>
      <c r="Q43" s="1994"/>
      <c r="R43" s="1994"/>
      <c r="S43" s="1994"/>
      <c r="T43" s="1987"/>
      <c r="U43" s="1988"/>
      <c r="V43" s="1989"/>
      <c r="W43" s="2003"/>
      <c r="X43" s="1052"/>
      <c r="Y43" s="2099" t="s">
        <v>3850</v>
      </c>
      <c r="Z43" s="1530"/>
      <c r="AA43" s="1530"/>
      <c r="AB43" s="1530"/>
      <c r="AC43" s="2100"/>
      <c r="AD43" s="524" t="str">
        <f>+X42</f>
        <v xml:space="preserve"> </v>
      </c>
      <c r="AE43" s="2101" t="s">
        <v>3851</v>
      </c>
      <c r="AF43" s="1052"/>
      <c r="AG43" s="1052"/>
      <c r="AH43" s="1052"/>
      <c r="AI43" s="1052"/>
      <c r="AJ43" s="1052"/>
      <c r="AK43" s="1052"/>
      <c r="AL43" s="1052"/>
      <c r="AM43" s="1052"/>
      <c r="AN43" s="1052"/>
      <c r="AO43" s="1052"/>
      <c r="AP43" s="1052"/>
      <c r="AQ43" s="1052"/>
      <c r="AR43" s="2012"/>
      <c r="AS43" s="21"/>
      <c r="AT43" s="20"/>
      <c r="AU43" s="20"/>
      <c r="AV43" s="20"/>
      <c r="AW43" s="20"/>
      <c r="AX43" s="20"/>
      <c r="AY43" s="20"/>
      <c r="AZ43" s="20"/>
      <c r="BA43" s="20"/>
      <c r="BB43" s="20"/>
      <c r="BC43" s="20"/>
    </row>
    <row r="44" spans="1:55" ht="18" customHeight="1">
      <c r="A44" s="518"/>
      <c r="B44" s="1996" t="s">
        <v>335</v>
      </c>
      <c r="C44" s="1980"/>
      <c r="D44" s="1980"/>
      <c r="E44" s="1980"/>
      <c r="F44" s="1980"/>
      <c r="G44" s="1980"/>
      <c r="H44" s="1980"/>
      <c r="I44" s="1990">
        <f>+N42*21983.5</f>
        <v>263802</v>
      </c>
      <c r="J44" s="1991"/>
      <c r="K44" s="1991"/>
      <c r="L44" s="1991"/>
      <c r="M44" s="1991"/>
      <c r="N44" s="1991"/>
      <c r="O44" s="1991"/>
      <c r="P44" s="1991"/>
      <c r="Q44" s="1991"/>
      <c r="R44" s="1991"/>
      <c r="S44" s="1992"/>
      <c r="T44" s="1979" t="s">
        <v>193</v>
      </c>
      <c r="U44" s="1980"/>
      <c r="V44" s="1981"/>
      <c r="W44" s="2003"/>
      <c r="X44" s="1052"/>
      <c r="Y44" s="1052"/>
      <c r="Z44" s="1052"/>
      <c r="AA44" s="1052"/>
      <c r="AB44" s="1052"/>
      <c r="AC44" s="2012"/>
      <c r="AD44" s="524"/>
      <c r="AE44" s="2101" t="s">
        <v>3852</v>
      </c>
      <c r="AF44" s="1052"/>
      <c r="AG44" s="1052"/>
      <c r="AH44" s="1052"/>
      <c r="AI44" s="1052"/>
      <c r="AJ44" s="1052"/>
      <c r="AK44" s="1052"/>
      <c r="AL44" s="1052"/>
      <c r="AM44" s="1052"/>
      <c r="AN44" s="1052"/>
      <c r="AO44" s="1052"/>
      <c r="AP44" s="1052"/>
      <c r="AQ44" s="1052"/>
      <c r="AR44" s="2012"/>
      <c r="AS44" s="21"/>
      <c r="AT44" s="20"/>
      <c r="AU44" s="20"/>
      <c r="AV44" s="20"/>
      <c r="AW44" s="20"/>
      <c r="AX44" s="20"/>
      <c r="AY44" s="20"/>
      <c r="AZ44" s="20"/>
      <c r="BA44" s="20"/>
      <c r="BB44" s="20"/>
      <c r="BC44" s="20"/>
    </row>
    <row r="45" spans="1:55" ht="18" customHeight="1">
      <c r="A45" s="1993" t="s">
        <v>3967</v>
      </c>
      <c r="B45" s="1980"/>
      <c r="C45" s="1980"/>
      <c r="D45" s="1980"/>
      <c r="E45" s="1980"/>
      <c r="F45" s="1980"/>
      <c r="G45" s="1980"/>
      <c r="H45" s="1980"/>
      <c r="I45" s="1980"/>
      <c r="J45" s="1980"/>
      <c r="K45" s="1980"/>
      <c r="L45" s="1980"/>
      <c r="M45" s="1980"/>
      <c r="N45" s="1980"/>
      <c r="O45" s="1980"/>
      <c r="P45" s="1980"/>
      <c r="Q45" s="1980"/>
      <c r="R45" s="1980"/>
      <c r="S45" s="1980"/>
      <c r="T45" s="1980"/>
      <c r="U45" s="1980"/>
      <c r="V45" s="1981"/>
      <c r="W45" s="1982" t="s">
        <v>3921</v>
      </c>
      <c r="X45" s="1982"/>
      <c r="Y45" s="1982"/>
      <c r="Z45" s="1982"/>
      <c r="AA45" s="1982"/>
      <c r="AB45" s="1982"/>
      <c r="AC45" s="1982"/>
      <c r="AD45" s="1982"/>
      <c r="AE45" s="1982"/>
      <c r="AF45" s="1982"/>
      <c r="AG45" s="1982"/>
      <c r="AH45" s="1982"/>
      <c r="AI45" s="1982"/>
      <c r="AJ45" s="1982"/>
      <c r="AK45" s="1982"/>
      <c r="AL45" s="1982"/>
      <c r="AM45" s="1983"/>
      <c r="AN45" s="1983"/>
      <c r="AO45" s="1983"/>
      <c r="AP45" s="1983"/>
      <c r="AQ45" s="1983"/>
      <c r="AR45" s="1984"/>
      <c r="AS45" s="21"/>
      <c r="AT45" s="20"/>
      <c r="AU45" s="20"/>
      <c r="AV45" s="20"/>
      <c r="AW45" s="20"/>
      <c r="AX45" s="20"/>
      <c r="AY45" s="20"/>
      <c r="AZ45" s="20"/>
      <c r="BA45" s="20"/>
      <c r="BB45" s="20"/>
      <c r="BC45" s="20"/>
    </row>
    <row r="46" spans="1:55" ht="18" customHeight="1">
      <c r="A46" s="518"/>
      <c r="B46" s="1996" t="s">
        <v>115</v>
      </c>
      <c r="C46" s="1997"/>
      <c r="D46" s="1997"/>
      <c r="E46" s="1997"/>
      <c r="F46" s="1997"/>
      <c r="G46" s="1997"/>
      <c r="H46" s="1997"/>
      <c r="I46" s="1990">
        <f>+MAX(I44,+I36*0.5)</f>
        <v>263802</v>
      </c>
      <c r="J46" s="2067"/>
      <c r="K46" s="2067"/>
      <c r="L46" s="2067"/>
      <c r="M46" s="2067"/>
      <c r="N46" s="2067"/>
      <c r="O46" s="2067"/>
      <c r="P46" s="2067"/>
      <c r="Q46" s="2067"/>
      <c r="R46" s="2067"/>
      <c r="S46" s="2068"/>
      <c r="T46" s="1979" t="s">
        <v>193</v>
      </c>
      <c r="U46" s="1980"/>
      <c r="V46" s="1981"/>
      <c r="W46" s="2081" t="s">
        <v>3855</v>
      </c>
      <c r="X46" s="2081"/>
      <c r="Y46" s="2081"/>
      <c r="Z46" s="2081"/>
      <c r="AA46" s="2081"/>
      <c r="AB46" s="2081"/>
      <c r="AC46" s="2081"/>
      <c r="AD46" s="2081"/>
      <c r="AE46" s="2081"/>
      <c r="AF46" s="2081"/>
      <c r="AG46" s="2081"/>
      <c r="AH46" s="2081"/>
      <c r="AI46" s="2081"/>
      <c r="AJ46" s="2081"/>
      <c r="AK46" s="2081"/>
      <c r="AL46" s="2081"/>
      <c r="AM46" s="2081"/>
      <c r="AN46" s="2081"/>
      <c r="AO46" s="2081"/>
      <c r="AP46" s="2081"/>
      <c r="AQ46" s="2081"/>
      <c r="AR46" s="2082"/>
      <c r="AS46" s="21"/>
      <c r="AT46" s="20"/>
      <c r="AU46" s="20"/>
      <c r="AV46" s="20"/>
      <c r="AW46" s="20"/>
      <c r="AX46" s="20"/>
      <c r="AY46" s="20"/>
      <c r="AZ46" s="20"/>
      <c r="BA46" s="20"/>
      <c r="BB46" s="20"/>
      <c r="BC46" s="20"/>
    </row>
    <row r="47" spans="1:55" ht="18" customHeight="1">
      <c r="A47" s="2003"/>
      <c r="B47" s="1988"/>
      <c r="C47" s="1988"/>
      <c r="D47" s="1988"/>
      <c r="E47" s="1988"/>
      <c r="F47" s="1988"/>
      <c r="G47" s="1988"/>
      <c r="H47" s="1988"/>
      <c r="I47" s="1988"/>
      <c r="J47" s="1988"/>
      <c r="K47" s="1988"/>
      <c r="L47" s="1988"/>
      <c r="M47" s="1988"/>
      <c r="N47" s="1988"/>
      <c r="O47" s="1988"/>
      <c r="P47" s="1988"/>
      <c r="Q47" s="1988"/>
      <c r="R47" s="1988"/>
      <c r="S47" s="1988"/>
      <c r="T47" s="1988"/>
      <c r="U47" s="1988"/>
      <c r="V47" s="1989"/>
      <c r="W47" s="575"/>
      <c r="X47" s="2004" t="s">
        <v>339</v>
      </c>
      <c r="Y47" s="2005"/>
      <c r="Z47" s="2005"/>
      <c r="AA47" s="2005"/>
      <c r="AB47" s="2005"/>
      <c r="AC47" s="2005"/>
      <c r="AD47" s="2006"/>
      <c r="AE47" s="2005"/>
      <c r="AF47" s="2007"/>
      <c r="AG47" s="2034">
        <f>+CEILING(0.135*0.5*MAX(0,I36)/N38,1)</f>
        <v>0</v>
      </c>
      <c r="AH47" s="2035"/>
      <c r="AI47" s="2035"/>
      <c r="AJ47" s="2035"/>
      <c r="AK47" s="2035"/>
      <c r="AL47" s="2035"/>
      <c r="AM47" s="2035"/>
      <c r="AN47" s="2036"/>
      <c r="AO47" s="2102" t="s">
        <v>193</v>
      </c>
      <c r="AP47" s="2076"/>
      <c r="AQ47" s="2076"/>
      <c r="AR47" s="2077"/>
      <c r="AS47" s="21"/>
      <c r="AT47" s="20"/>
      <c r="AU47" s="20"/>
      <c r="AV47" s="20"/>
      <c r="AW47" s="20"/>
      <c r="AX47" s="20"/>
      <c r="AY47" s="20"/>
      <c r="AZ47" s="20"/>
      <c r="BA47" s="20"/>
      <c r="BB47" s="20"/>
      <c r="BC47" s="20"/>
    </row>
    <row r="48" spans="1:55" ht="12" customHeight="1">
      <c r="A48" s="515"/>
      <c r="B48" s="2078" t="s">
        <v>3968</v>
      </c>
      <c r="C48" s="2079"/>
      <c r="D48" s="2079"/>
      <c r="E48" s="2079"/>
      <c r="F48" s="2079"/>
      <c r="G48" s="2079"/>
      <c r="H48" s="2079"/>
      <c r="I48" s="2079"/>
      <c r="J48" s="2079"/>
      <c r="K48" s="2079"/>
      <c r="L48" s="2079"/>
      <c r="M48" s="2079"/>
      <c r="N48" s="2079"/>
      <c r="O48" s="2079"/>
      <c r="P48" s="2079"/>
      <c r="Q48" s="2079"/>
      <c r="R48" s="2079"/>
      <c r="S48" s="2079"/>
      <c r="T48" s="2079"/>
      <c r="U48" s="2079"/>
      <c r="V48" s="2080"/>
      <c r="W48" s="574" t="s">
        <v>3767</v>
      </c>
      <c r="X48" s="574"/>
      <c r="Y48" s="574"/>
      <c r="Z48" s="574"/>
      <c r="AA48" s="574"/>
      <c r="AB48" s="574"/>
      <c r="AC48" s="574"/>
      <c r="AD48" s="574"/>
      <c r="AE48" s="574"/>
      <c r="AF48" s="574"/>
      <c r="AG48" s="514"/>
      <c r="AH48" s="514"/>
      <c r="AI48" s="514"/>
      <c r="AJ48" s="514"/>
      <c r="AK48" s="514"/>
      <c r="AL48" s="514"/>
      <c r="AM48" s="514"/>
      <c r="AN48" s="514"/>
      <c r="AO48" s="574"/>
      <c r="AP48" s="574"/>
      <c r="AQ48" s="574"/>
      <c r="AR48" s="576"/>
      <c r="AS48" s="21"/>
      <c r="AT48" s="20"/>
      <c r="AU48" s="20"/>
      <c r="AV48" s="20"/>
      <c r="AW48" s="20"/>
      <c r="AX48" s="20"/>
      <c r="AY48" s="20"/>
      <c r="AZ48" s="20"/>
      <c r="BA48" s="20"/>
      <c r="BB48" s="20"/>
      <c r="BC48" s="20"/>
    </row>
    <row r="49" spans="1:55" ht="18" customHeight="1">
      <c r="A49" s="516"/>
      <c r="B49" s="2004" t="s">
        <v>336</v>
      </c>
      <c r="C49" s="2073"/>
      <c r="D49" s="2073"/>
      <c r="E49" s="2073"/>
      <c r="F49" s="2073"/>
      <c r="G49" s="2073"/>
      <c r="H49" s="2073"/>
      <c r="I49" s="1990">
        <f>+CEILING(0.135*(I46*N40)/N38,1)</f>
        <v>35614</v>
      </c>
      <c r="J49" s="2067"/>
      <c r="K49" s="2067"/>
      <c r="L49" s="2067"/>
      <c r="M49" s="2067"/>
      <c r="N49" s="2067"/>
      <c r="O49" s="2067"/>
      <c r="P49" s="2067"/>
      <c r="Q49" s="2067"/>
      <c r="R49" s="2067"/>
      <c r="S49" s="2068"/>
      <c r="T49" s="2075" t="s">
        <v>193</v>
      </c>
      <c r="U49" s="2105"/>
      <c r="V49" s="2106"/>
      <c r="W49" s="527"/>
      <c r="X49" s="524" t="s">
        <v>246</v>
      </c>
      <c r="Y49" s="2107" t="s">
        <v>3972</v>
      </c>
      <c r="Z49" s="2076"/>
      <c r="AA49" s="2076"/>
      <c r="AB49" s="524"/>
      <c r="AC49" s="2107" t="s">
        <v>3512</v>
      </c>
      <c r="AD49" s="2076"/>
      <c r="AE49" s="2076"/>
      <c r="AF49" s="524"/>
      <c r="AG49" s="2107" t="s">
        <v>340</v>
      </c>
      <c r="AH49" s="2076"/>
      <c r="AI49" s="2076"/>
      <c r="AJ49" s="2031">
        <f>+IF(OR(EXACT(X49,"X"),EXACT(X49,"x")),MAX(AG47,3193),IF(OR(EXACT(AF49,"X"),EXACT(AF49,"x")),0,+AG47))</f>
        <v>3193</v>
      </c>
      <c r="AK49" s="2032"/>
      <c r="AL49" s="2032"/>
      <c r="AM49" s="2032"/>
      <c r="AN49" s="2033"/>
      <c r="AO49" s="2075" t="s">
        <v>193</v>
      </c>
      <c r="AP49" s="2076"/>
      <c r="AQ49" s="2076"/>
      <c r="AR49" s="2077"/>
      <c r="AS49" s="21"/>
      <c r="AT49" s="20"/>
      <c r="AU49" s="20"/>
      <c r="AV49" s="20"/>
      <c r="AW49" s="20"/>
      <c r="AX49" s="20"/>
      <c r="AY49" s="20"/>
      <c r="AZ49" s="20"/>
      <c r="BA49" s="20"/>
      <c r="BB49" s="20"/>
      <c r="BC49" s="20"/>
    </row>
    <row r="50" spans="1:55" ht="18" customHeight="1">
      <c r="A50" s="1948"/>
      <c r="B50" s="1949"/>
      <c r="C50" s="1949"/>
      <c r="D50" s="1949"/>
      <c r="E50" s="1949"/>
      <c r="F50" s="1949"/>
      <c r="G50" s="1949"/>
      <c r="H50" s="1949"/>
      <c r="I50" s="1949"/>
      <c r="J50" s="1949"/>
      <c r="K50" s="1949"/>
      <c r="L50" s="1949"/>
      <c r="M50" s="1949"/>
      <c r="N50" s="1949"/>
      <c r="O50" s="1949"/>
      <c r="P50" s="1949"/>
      <c r="Q50" s="1949"/>
      <c r="R50" s="1949"/>
      <c r="S50" s="1949"/>
      <c r="T50" s="1949"/>
      <c r="U50" s="1949"/>
      <c r="V50" s="1950"/>
      <c r="W50" s="1951"/>
      <c r="X50" s="1952"/>
      <c r="Y50" s="1952"/>
      <c r="Z50" s="1952"/>
      <c r="AA50" s="1952"/>
      <c r="AB50" s="1952"/>
      <c r="AC50" s="1952"/>
      <c r="AD50" s="1952"/>
      <c r="AE50" s="1952"/>
      <c r="AF50" s="1952"/>
      <c r="AG50" s="1952"/>
      <c r="AH50" s="1952"/>
      <c r="AI50" s="1952"/>
      <c r="AJ50" s="1952"/>
      <c r="AK50" s="1952"/>
      <c r="AL50" s="1952"/>
      <c r="AM50" s="1952"/>
      <c r="AN50" s="1952"/>
      <c r="AO50" s="1952"/>
      <c r="AP50" s="1952"/>
      <c r="AQ50" s="1952"/>
      <c r="AR50" s="1953"/>
      <c r="AS50" s="21"/>
      <c r="AT50" s="20"/>
      <c r="AU50" s="20"/>
      <c r="AV50" s="20"/>
      <c r="AW50" s="20"/>
      <c r="AX50" s="20"/>
      <c r="AY50" s="20"/>
      <c r="AZ50" s="20"/>
      <c r="BA50" s="20"/>
      <c r="BB50" s="20"/>
      <c r="BC50" s="20"/>
    </row>
    <row r="51" spans="1:55" ht="18" customHeight="1">
      <c r="A51" s="567" t="s">
        <v>3513</v>
      </c>
      <c r="B51" s="568"/>
      <c r="C51" s="568"/>
      <c r="D51" s="568"/>
      <c r="E51" s="568"/>
      <c r="F51" s="568"/>
      <c r="G51" s="568"/>
      <c r="H51" s="568"/>
      <c r="I51" s="568"/>
      <c r="J51" s="568"/>
      <c r="K51" s="568"/>
      <c r="L51" s="568"/>
      <c r="M51" s="568"/>
      <c r="N51" s="568"/>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8"/>
      <c r="AP51" s="568"/>
      <c r="AQ51" s="568"/>
      <c r="AR51" s="569"/>
      <c r="AS51" s="21"/>
      <c r="AT51" s="20"/>
      <c r="AU51" s="20"/>
      <c r="AV51" s="20"/>
      <c r="AW51" s="20"/>
      <c r="AX51" s="20"/>
      <c r="AY51" s="20"/>
      <c r="AZ51" s="20"/>
      <c r="BA51" s="20"/>
      <c r="BB51" s="20"/>
      <c r="BC51" s="20"/>
    </row>
    <row r="52" spans="1:55" ht="12" customHeight="1">
      <c r="A52" s="2103" t="s">
        <v>3727</v>
      </c>
      <c r="B52" s="1901"/>
      <c r="C52" s="1901"/>
      <c r="D52" s="1901"/>
      <c r="E52" s="1901"/>
      <c r="F52" s="1901"/>
      <c r="G52" s="1901"/>
      <c r="H52" s="1901"/>
      <c r="I52" s="1901"/>
      <c r="J52" s="1901"/>
      <c r="K52" s="1901"/>
      <c r="L52" s="1901"/>
      <c r="M52" s="1901"/>
      <c r="N52" s="1901"/>
      <c r="O52" s="1901"/>
      <c r="P52" s="1901"/>
      <c r="Q52" s="1901"/>
      <c r="R52" s="1901"/>
      <c r="S52" s="1901"/>
      <c r="T52" s="1901"/>
      <c r="U52" s="1901"/>
      <c r="V52" s="1901"/>
      <c r="W52" s="1901"/>
      <c r="X52" s="1901"/>
      <c r="Y52" s="1901"/>
      <c r="Z52" s="563"/>
      <c r="AA52" s="512"/>
      <c r="AB52" s="512"/>
      <c r="AC52" s="512"/>
      <c r="AD52" s="512"/>
      <c r="AE52" s="512"/>
      <c r="AF52" s="512"/>
      <c r="AG52" s="512"/>
      <c r="AH52" s="512"/>
      <c r="AI52" s="512"/>
      <c r="AJ52" s="512"/>
      <c r="AK52" s="512"/>
      <c r="AL52" s="512"/>
      <c r="AM52" s="512"/>
      <c r="AN52" s="512"/>
      <c r="AO52" s="512"/>
      <c r="AP52" s="512"/>
      <c r="AQ52" s="512"/>
      <c r="AR52" s="519"/>
      <c r="AS52" s="21"/>
      <c r="AT52" s="20"/>
      <c r="AU52" s="20"/>
      <c r="AV52" s="20"/>
      <c r="AW52" s="20"/>
      <c r="AX52" s="20"/>
      <c r="AY52" s="20"/>
      <c r="AZ52" s="20"/>
      <c r="BA52" s="20"/>
      <c r="BB52" s="20"/>
      <c r="BC52" s="20"/>
    </row>
    <row r="53" spans="1:55" ht="18" customHeight="1">
      <c r="A53" s="2104"/>
      <c r="B53" s="1902"/>
      <c r="C53" s="1902"/>
      <c r="D53" s="1902"/>
      <c r="E53" s="1902"/>
      <c r="F53" s="1902"/>
      <c r="G53" s="1902"/>
      <c r="H53" s="1902"/>
      <c r="I53" s="1902"/>
      <c r="J53" s="1902"/>
      <c r="K53" s="1902"/>
      <c r="L53" s="1902"/>
      <c r="M53" s="1902"/>
      <c r="N53" s="1902"/>
      <c r="O53" s="1902"/>
      <c r="P53" s="1902"/>
      <c r="Q53" s="1902"/>
      <c r="R53" s="1902"/>
      <c r="S53" s="1902"/>
      <c r="T53" s="1902"/>
      <c r="U53" s="1902"/>
      <c r="V53" s="1902"/>
      <c r="W53" s="1902"/>
      <c r="X53" s="1902"/>
      <c r="Y53" s="1902"/>
      <c r="Z53" s="563"/>
      <c r="AA53" s="512"/>
      <c r="AB53" s="2083" t="s">
        <v>341</v>
      </c>
      <c r="AC53" s="2084"/>
      <c r="AD53" s="2084"/>
      <c r="AE53" s="2084"/>
      <c r="AF53" s="2084"/>
      <c r="AG53" s="2084"/>
      <c r="AH53" s="2084"/>
      <c r="AI53" s="2084"/>
      <c r="AJ53" s="2084"/>
      <c r="AK53" s="2084"/>
      <c r="AL53" s="2084"/>
      <c r="AM53" s="2084"/>
      <c r="AN53" s="2085"/>
      <c r="AO53" s="1917"/>
      <c r="AP53" s="1917"/>
      <c r="AQ53" s="1917"/>
      <c r="AR53" s="2002"/>
      <c r="AS53" s="21"/>
      <c r="AT53" s="20"/>
      <c r="AU53" s="20"/>
      <c r="AV53" s="20"/>
      <c r="AW53" s="20"/>
      <c r="AX53" s="20"/>
      <c r="AY53" s="20"/>
      <c r="AZ53" s="20"/>
      <c r="BA53" s="20"/>
      <c r="BB53" s="20"/>
      <c r="BC53" s="20"/>
    </row>
    <row r="54" spans="1:55" ht="12" customHeight="1">
      <c r="A54" s="570"/>
      <c r="B54" s="563"/>
      <c r="C54" s="563"/>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12"/>
      <c r="AB54" s="2086"/>
      <c r="AC54" s="2087"/>
      <c r="AD54" s="2087"/>
      <c r="AE54" s="2087"/>
      <c r="AF54" s="2087"/>
      <c r="AG54" s="2087"/>
      <c r="AH54" s="2087"/>
      <c r="AI54" s="2087"/>
      <c r="AJ54" s="2087"/>
      <c r="AK54" s="2087"/>
      <c r="AL54" s="2087"/>
      <c r="AM54" s="2087"/>
      <c r="AN54" s="2088"/>
      <c r="AO54" s="1917"/>
      <c r="AP54" s="1917"/>
      <c r="AQ54" s="1917"/>
      <c r="AR54" s="2002"/>
      <c r="AS54" s="21"/>
      <c r="AT54" s="20"/>
      <c r="AU54" s="20"/>
      <c r="AV54" s="20"/>
      <c r="AW54" s="20"/>
      <c r="AX54" s="20"/>
      <c r="AY54" s="20"/>
      <c r="AZ54" s="20"/>
      <c r="BA54" s="20"/>
      <c r="BB54" s="20"/>
      <c r="BC54" s="20"/>
    </row>
    <row r="55" spans="1:55" ht="18" customHeight="1">
      <c r="A55" s="570"/>
      <c r="B55" s="563"/>
      <c r="C55" s="563"/>
      <c r="D55" s="563"/>
      <c r="E55" s="563"/>
      <c r="F55" s="563"/>
      <c r="G55" s="563"/>
      <c r="H55" s="563"/>
      <c r="I55" s="563"/>
      <c r="J55" s="563"/>
      <c r="K55" s="563"/>
      <c r="L55" s="563"/>
      <c r="M55" s="563"/>
      <c r="N55" s="563"/>
      <c r="O55" s="563"/>
      <c r="P55" s="563"/>
      <c r="Q55" s="563"/>
      <c r="R55" s="563"/>
      <c r="S55" s="563"/>
      <c r="T55" s="563"/>
      <c r="U55" s="563"/>
      <c r="V55" s="563"/>
      <c r="W55" s="563"/>
      <c r="X55" s="563"/>
      <c r="Y55" s="563"/>
      <c r="Z55" s="563"/>
      <c r="AA55" s="512"/>
      <c r="AB55" s="2086"/>
      <c r="AC55" s="2087"/>
      <c r="AD55" s="2087"/>
      <c r="AE55" s="2087"/>
      <c r="AF55" s="2087"/>
      <c r="AG55" s="2087"/>
      <c r="AH55" s="2087"/>
      <c r="AI55" s="2087"/>
      <c r="AJ55" s="2087"/>
      <c r="AK55" s="2087"/>
      <c r="AL55" s="2087"/>
      <c r="AM55" s="2087"/>
      <c r="AN55" s="2088"/>
      <c r="AO55" s="1917"/>
      <c r="AP55" s="1917"/>
      <c r="AQ55" s="1917"/>
      <c r="AR55" s="2002"/>
      <c r="AS55" s="21"/>
      <c r="AT55" s="20"/>
      <c r="AU55" s="20"/>
      <c r="AV55" s="20"/>
      <c r="AW55" s="20"/>
      <c r="AX55" s="20"/>
      <c r="AY55" s="20"/>
      <c r="AZ55" s="20"/>
      <c r="BA55" s="20"/>
      <c r="BB55" s="20"/>
      <c r="BC55" s="20"/>
    </row>
    <row r="56" spans="1:55" ht="12" customHeight="1">
      <c r="A56" s="517"/>
      <c r="B56" s="2074" t="s">
        <v>3969</v>
      </c>
      <c r="C56" s="2074"/>
      <c r="D56" s="2074"/>
      <c r="E56" s="2074"/>
      <c r="F56" s="2074"/>
      <c r="G56" s="2074"/>
      <c r="H56" s="2074"/>
      <c r="I56" s="2074"/>
      <c r="J56" s="2074"/>
      <c r="K56" s="2074"/>
      <c r="L56" s="2074"/>
      <c r="M56" s="2074"/>
      <c r="N56" s="2074"/>
      <c r="O56" s="2074"/>
      <c r="P56" s="2074"/>
      <c r="Q56" s="562" t="s">
        <v>342</v>
      </c>
      <c r="R56" s="563"/>
      <c r="S56" s="563"/>
      <c r="T56" s="563"/>
      <c r="U56" s="563"/>
      <c r="V56" s="563"/>
      <c r="W56" s="563"/>
      <c r="X56" s="563"/>
      <c r="Y56" s="563"/>
      <c r="Z56" s="513"/>
      <c r="AA56" s="513"/>
      <c r="AB56" s="2086"/>
      <c r="AC56" s="2087"/>
      <c r="AD56" s="2087"/>
      <c r="AE56" s="2087"/>
      <c r="AF56" s="2087"/>
      <c r="AG56" s="2087"/>
      <c r="AH56" s="2087"/>
      <c r="AI56" s="2087"/>
      <c r="AJ56" s="2087"/>
      <c r="AK56" s="2087"/>
      <c r="AL56" s="2087"/>
      <c r="AM56" s="2087"/>
      <c r="AN56" s="2088"/>
      <c r="AO56" s="1917"/>
      <c r="AP56" s="1917"/>
      <c r="AQ56" s="1917"/>
      <c r="AR56" s="2002"/>
      <c r="AS56" s="21"/>
      <c r="AT56" s="20"/>
      <c r="AU56" s="20"/>
      <c r="AV56" s="20"/>
      <c r="AW56" s="20"/>
      <c r="AX56" s="20"/>
      <c r="AY56" s="20"/>
      <c r="AZ56" s="20"/>
      <c r="BA56" s="20"/>
      <c r="BB56" s="20"/>
      <c r="BC56" s="20"/>
    </row>
    <row r="57" spans="1:55" ht="18" customHeight="1">
      <c r="A57" s="517"/>
      <c r="B57" s="261"/>
      <c r="C57" s="1917"/>
      <c r="D57" s="1917"/>
      <c r="E57" s="1917"/>
      <c r="F57" s="1917"/>
      <c r="G57" s="1917"/>
      <c r="H57" s="1917"/>
      <c r="I57" s="1917"/>
      <c r="J57" s="1917"/>
      <c r="K57" s="1917"/>
      <c r="L57" s="1917"/>
      <c r="M57" s="1917"/>
      <c r="N57" s="1917"/>
      <c r="O57" s="1917"/>
      <c r="P57" s="1917"/>
      <c r="Q57" s="2094">
        <f ca="1">+TODAY()</f>
        <v>45664</v>
      </c>
      <c r="R57" s="2095"/>
      <c r="S57" s="2095"/>
      <c r="T57" s="2095"/>
      <c r="U57" s="2095"/>
      <c r="V57" s="2095"/>
      <c r="W57" s="2095"/>
      <c r="X57" s="2095"/>
      <c r="Y57" s="2096"/>
      <c r="Z57" s="512"/>
      <c r="AA57" s="512"/>
      <c r="AB57" s="2086"/>
      <c r="AC57" s="2087"/>
      <c r="AD57" s="2087"/>
      <c r="AE57" s="2087"/>
      <c r="AF57" s="2087"/>
      <c r="AG57" s="2087"/>
      <c r="AH57" s="2087"/>
      <c r="AI57" s="2087"/>
      <c r="AJ57" s="2087"/>
      <c r="AK57" s="2087"/>
      <c r="AL57" s="2087"/>
      <c r="AM57" s="2087"/>
      <c r="AN57" s="2088"/>
      <c r="AO57" s="1917"/>
      <c r="AP57" s="1917"/>
      <c r="AQ57" s="261"/>
      <c r="AR57" s="2002"/>
      <c r="AS57" s="21"/>
      <c r="AT57" s="20"/>
      <c r="AU57" s="20"/>
      <c r="AV57" s="20"/>
      <c r="AW57" s="20"/>
      <c r="AX57" s="20"/>
      <c r="AY57" s="20"/>
      <c r="AZ57" s="20"/>
      <c r="BA57" s="20"/>
      <c r="BB57" s="20"/>
      <c r="BC57" s="20"/>
    </row>
    <row r="58" spans="1:55" ht="3" customHeight="1">
      <c r="A58" s="2066"/>
      <c r="B58" s="1972"/>
      <c r="C58" s="1972"/>
      <c r="D58" s="1972"/>
      <c r="E58" s="1972"/>
      <c r="F58" s="1972"/>
      <c r="G58" s="1972"/>
      <c r="H58" s="1972"/>
      <c r="I58" s="1972"/>
      <c r="J58" s="1972"/>
      <c r="K58" s="1972"/>
      <c r="L58" s="1972"/>
      <c r="M58" s="1972"/>
      <c r="N58" s="1972"/>
      <c r="O58" s="1972"/>
      <c r="P58" s="1972"/>
      <c r="Q58" s="2030"/>
      <c r="R58" s="2009"/>
      <c r="S58" s="2009"/>
      <c r="T58" s="2009"/>
      <c r="U58" s="2009"/>
      <c r="V58" s="2009"/>
      <c r="W58" s="2009"/>
      <c r="X58" s="2009"/>
      <c r="Y58" s="2010"/>
      <c r="Z58" s="512"/>
      <c r="AA58" s="512"/>
      <c r="AB58" s="2089"/>
      <c r="AC58" s="2090"/>
      <c r="AD58" s="2090"/>
      <c r="AE58" s="2090"/>
      <c r="AF58" s="2090"/>
      <c r="AG58" s="2090"/>
      <c r="AH58" s="2090"/>
      <c r="AI58" s="2090"/>
      <c r="AJ58" s="2090"/>
      <c r="AK58" s="2090"/>
      <c r="AL58" s="2090"/>
      <c r="AM58" s="2090"/>
      <c r="AN58" s="2091"/>
      <c r="AO58" s="1917"/>
      <c r="AP58" s="1917"/>
      <c r="AQ58" s="512"/>
      <c r="AR58" s="2002"/>
      <c r="AS58" s="21"/>
      <c r="AT58" s="20"/>
      <c r="AU58" s="20"/>
      <c r="AV58" s="20"/>
      <c r="AW58" s="20"/>
      <c r="AX58" s="20"/>
      <c r="AY58" s="20"/>
      <c r="AZ58" s="20"/>
      <c r="BA58" s="20"/>
      <c r="BB58" s="20"/>
      <c r="BC58" s="20"/>
    </row>
    <row r="59" spans="1:55" ht="12.75" customHeight="1">
      <c r="A59" s="564"/>
      <c r="B59" s="565"/>
      <c r="C59" s="565"/>
      <c r="D59" s="565"/>
      <c r="E59" s="565"/>
      <c r="F59" s="565"/>
      <c r="G59" s="565"/>
      <c r="H59" s="565"/>
      <c r="I59" s="565"/>
      <c r="J59" s="565"/>
      <c r="K59" s="565"/>
      <c r="L59" s="565"/>
      <c r="M59" s="565"/>
      <c r="N59" s="565"/>
      <c r="O59" s="565"/>
      <c r="P59" s="565"/>
      <c r="Q59" s="565"/>
      <c r="R59" s="565"/>
      <c r="S59" s="565"/>
      <c r="T59" s="565"/>
      <c r="U59" s="565"/>
      <c r="V59" s="565"/>
      <c r="W59" s="565"/>
      <c r="X59" s="565"/>
      <c r="Y59" s="565"/>
      <c r="Z59" s="565"/>
      <c r="AA59" s="565"/>
      <c r="AB59" s="565"/>
      <c r="AC59" s="565"/>
      <c r="AD59" s="565"/>
      <c r="AE59" s="565"/>
      <c r="AF59" s="565"/>
      <c r="AG59" s="565"/>
      <c r="AH59" s="565"/>
      <c r="AI59" s="565"/>
      <c r="AJ59" s="565"/>
      <c r="AK59" s="565"/>
      <c r="AL59" s="565"/>
      <c r="AM59" s="565"/>
      <c r="AN59" s="565"/>
      <c r="AO59" s="565"/>
      <c r="AP59" s="565"/>
      <c r="AQ59" s="565"/>
      <c r="AR59" s="566"/>
      <c r="AS59" s="21"/>
    </row>
    <row r="60" spans="1:55" ht="12" customHeight="1">
      <c r="A60" s="2092" t="str">
        <f>+'SP1'!A71</f>
        <v>Formulář zpracovala ASPEKT HM, daňová, účetní a auditorská kancelář, www.danovapriznani.cz, business.center.cz</v>
      </c>
      <c r="B60" s="2093"/>
      <c r="C60" s="2093"/>
      <c r="D60" s="2093"/>
      <c r="E60" s="2093"/>
      <c r="F60" s="2093"/>
      <c r="G60" s="2093"/>
      <c r="H60" s="2093"/>
      <c r="I60" s="2093"/>
      <c r="J60" s="2093"/>
      <c r="K60" s="2093"/>
      <c r="L60" s="2093"/>
      <c r="M60" s="2093"/>
      <c r="N60" s="2093"/>
      <c r="O60" s="2093"/>
      <c r="P60" s="2093"/>
      <c r="Q60" s="2093"/>
      <c r="R60" s="2093"/>
      <c r="S60" s="2093"/>
      <c r="T60" s="2093"/>
      <c r="U60" s="2093"/>
      <c r="V60" s="2093"/>
      <c r="W60" s="2093"/>
      <c r="X60" s="2093"/>
      <c r="Y60" s="2093"/>
      <c r="Z60" s="2093"/>
      <c r="AA60" s="2093"/>
      <c r="AB60" s="2093"/>
      <c r="AC60" s="2093"/>
      <c r="AD60" s="2093"/>
      <c r="AE60" s="2093"/>
      <c r="AF60" s="2093"/>
      <c r="AG60" s="2093"/>
      <c r="AH60" s="2093"/>
      <c r="AI60" s="2093"/>
      <c r="AJ60" s="2093"/>
      <c r="AK60" s="2093"/>
      <c r="AL60" s="2093"/>
      <c r="AM60" s="2093"/>
      <c r="AN60" s="2093"/>
      <c r="AO60" s="2093"/>
      <c r="AP60" s="2093"/>
      <c r="AQ60" s="2093"/>
      <c r="AR60" s="2093"/>
      <c r="AS60" s="21"/>
    </row>
    <row r="61" spans="1:55" ht="12" customHeight="1">
      <c r="A61" s="2097" t="str">
        <f>+CONCATENATE(ZAKL_DATA!A44)</f>
        <v/>
      </c>
      <c r="B61" s="2098"/>
      <c r="C61" s="2098"/>
      <c r="D61" s="2098"/>
      <c r="E61" s="2098"/>
      <c r="F61" s="2098"/>
      <c r="G61" s="2098"/>
      <c r="H61" s="2098"/>
      <c r="I61" s="2098"/>
      <c r="J61" s="2098"/>
      <c r="K61" s="2098"/>
      <c r="L61" s="2098"/>
      <c r="M61" s="2098"/>
      <c r="N61" s="2098"/>
      <c r="O61" s="2098"/>
      <c r="P61" s="2098"/>
      <c r="Q61" s="2098"/>
      <c r="R61" s="2098"/>
      <c r="S61" s="2098"/>
      <c r="T61" s="2098"/>
      <c r="U61" s="2098"/>
      <c r="V61" s="2098"/>
      <c r="W61" s="2098"/>
      <c r="X61" s="2098"/>
      <c r="Y61" s="2098"/>
      <c r="Z61" s="2098"/>
      <c r="AA61" s="2098"/>
      <c r="AB61" s="2098"/>
      <c r="AC61" s="2098"/>
      <c r="AD61" s="2098"/>
      <c r="AE61" s="2098"/>
      <c r="AF61" s="2098"/>
      <c r="AG61" s="2098"/>
      <c r="AH61" s="2098"/>
      <c r="AI61" s="2098"/>
      <c r="AJ61" s="2098"/>
      <c r="AK61" s="2098"/>
      <c r="AL61" s="2098"/>
      <c r="AM61" s="2098"/>
      <c r="AN61" s="2098"/>
      <c r="AO61" s="2098"/>
      <c r="AP61" s="2098"/>
      <c r="AQ61" s="2098"/>
      <c r="AR61" s="2098"/>
      <c r="AS61" s="21"/>
    </row>
    <row r="62" spans="1:55" ht="1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row>
    <row r="63" spans="1:55" ht="9.9499999999999993"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row>
    <row r="64" spans="1:55" ht="9.9499999999999993"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row>
    <row r="65" spans="1:45" ht="9.9499999999999993"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row>
    <row r="66" spans="1:45" ht="9.9499999999999993"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row>
    <row r="67" spans="1:4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row>
    <row r="68" spans="1:45" ht="1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row>
    <row r="69" spans="1:4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row>
    <row r="70" spans="1:45" ht="8.1"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row>
    <row r="71" spans="1:4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row>
    <row r="72" spans="1:4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row>
    <row r="73" spans="1:4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row>
    <row r="74" spans="1:4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row>
    <row r="75" spans="1:4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row>
    <row r="76" spans="1:4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row>
    <row r="77" spans="1:4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row>
    <row r="78" spans="1:4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row>
    <row r="79" spans="1:4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row>
    <row r="80" spans="1:4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row>
    <row r="81" spans="1:4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row>
    <row r="82" spans="1:4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row>
    <row r="83" spans="1:4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row>
    <row r="84" spans="1:4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row>
    <row r="85" spans="1:4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row>
    <row r="86" spans="1:4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row>
    <row r="87" spans="1:4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row>
    <row r="88" spans="1:4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row>
    <row r="89" spans="1:4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row>
    <row r="90" spans="1:4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row>
    <row r="91" spans="1:4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row>
    <row r="92" spans="1:4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row>
    <row r="93" spans="1:4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row>
    <row r="94" spans="1:4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row>
    <row r="95" spans="1:4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row>
    <row r="96" spans="1:4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row>
    <row r="97" spans="1:4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row>
    <row r="98" spans="1:4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row>
    <row r="99" spans="1:4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row>
    <row r="100" spans="1:4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row>
    <row r="101" spans="1:4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row>
    <row r="102" spans="1:4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row>
    <row r="103" spans="1:4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row>
    <row r="104" spans="1:4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row>
    <row r="105" spans="1:4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row>
    <row r="106" spans="1:4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row>
    <row r="107" spans="1:4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row>
    <row r="108" spans="1:4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row>
    <row r="109" spans="1:4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row>
    <row r="110" spans="1:4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row>
    <row r="111" spans="1:4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row>
    <row r="112" spans="1:4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row>
    <row r="113" spans="2:4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row>
  </sheetData>
  <sheetProtection algorithmName="SHA-512" hashValue="0US95XO5ju2PjCPfxHWrYkeN7i+oIm/MTcPRjACdOrcj0g3wdMUSGAoEzWT7+owQFtgOL2Y/JxjEQWIkUyYrDg==" saltValue="8Koyy/ZdUnZBtJtqOCrdwA==" spinCount="100000" sheet="1" objects="1" scenarios="1"/>
  <mergeCells count="150">
    <mergeCell ref="A60:AR60"/>
    <mergeCell ref="Q57:Y58"/>
    <mergeCell ref="A61:AR61"/>
    <mergeCell ref="B40:M40"/>
    <mergeCell ref="N40:O40"/>
    <mergeCell ref="P40:V40"/>
    <mergeCell ref="W39:AR39"/>
    <mergeCell ref="W43:X43"/>
    <mergeCell ref="Y43:AC43"/>
    <mergeCell ref="AE43:AR43"/>
    <mergeCell ref="W44:AC44"/>
    <mergeCell ref="AE44:AR44"/>
    <mergeCell ref="AG47:AN47"/>
    <mergeCell ref="AO47:AR47"/>
    <mergeCell ref="A52:Y53"/>
    <mergeCell ref="T49:V49"/>
    <mergeCell ref="I49:S49"/>
    <mergeCell ref="C57:P57"/>
    <mergeCell ref="T46:V46"/>
    <mergeCell ref="Y49:AA49"/>
    <mergeCell ref="AC49:AE49"/>
    <mergeCell ref="AG49:AI49"/>
    <mergeCell ref="AO53:AR56"/>
    <mergeCell ref="AO57:AP58"/>
    <mergeCell ref="AN10:AR10"/>
    <mergeCell ref="A11:W11"/>
    <mergeCell ref="Y11:AL11"/>
    <mergeCell ref="A18:AR18"/>
    <mergeCell ref="H15:AI15"/>
    <mergeCell ref="H14:AI14"/>
    <mergeCell ref="AD27:AR27"/>
    <mergeCell ref="AD29:AR29"/>
    <mergeCell ref="A58:P58"/>
    <mergeCell ref="I46:S46"/>
    <mergeCell ref="B46:H46"/>
    <mergeCell ref="B41:V41"/>
    <mergeCell ref="B39:V39"/>
    <mergeCell ref="P38:V38"/>
    <mergeCell ref="N38:O38"/>
    <mergeCell ref="B44:H44"/>
    <mergeCell ref="I35:S35"/>
    <mergeCell ref="B35:H35"/>
    <mergeCell ref="B49:H49"/>
    <mergeCell ref="B56:P56"/>
    <mergeCell ref="AO49:AR49"/>
    <mergeCell ref="B48:V48"/>
    <mergeCell ref="W46:AR46"/>
    <mergeCell ref="AB53:AN58"/>
    <mergeCell ref="AR57:AR58"/>
    <mergeCell ref="AJ49:AN49"/>
    <mergeCell ref="W37:AR37"/>
    <mergeCell ref="X38:AD38"/>
    <mergeCell ref="AE38:AN38"/>
    <mergeCell ref="T36:V36"/>
    <mergeCell ref="T3:AA3"/>
    <mergeCell ref="T4:AA4"/>
    <mergeCell ref="A7:S7"/>
    <mergeCell ref="U6:Z6"/>
    <mergeCell ref="T7:V7"/>
    <mergeCell ref="X7:Y7"/>
    <mergeCell ref="A4:E4"/>
    <mergeCell ref="F4:S4"/>
    <mergeCell ref="A19:AR19"/>
    <mergeCell ref="A5:R6"/>
    <mergeCell ref="T5:AA5"/>
    <mergeCell ref="A8:AR8"/>
    <mergeCell ref="A16:AE16"/>
    <mergeCell ref="Y13:AF13"/>
    <mergeCell ref="AH13:AR13"/>
    <mergeCell ref="A9:AR9"/>
    <mergeCell ref="A10:W10"/>
    <mergeCell ref="Y10:AL10"/>
    <mergeCell ref="N23:O23"/>
    <mergeCell ref="B25:AA25"/>
    <mergeCell ref="AB22:AR22"/>
    <mergeCell ref="AB24:AR24"/>
    <mergeCell ref="AB26:AR26"/>
    <mergeCell ref="AB28:AR28"/>
    <mergeCell ref="AD23:AR23"/>
    <mergeCell ref="AD25:AR25"/>
    <mergeCell ref="AO38:AR38"/>
    <mergeCell ref="B36:H36"/>
    <mergeCell ref="A34:V34"/>
    <mergeCell ref="W34:AR34"/>
    <mergeCell ref="W35:AR35"/>
    <mergeCell ref="X36:AD36"/>
    <mergeCell ref="AE36:AN36"/>
    <mergeCell ref="AO36:AR36"/>
    <mergeCell ref="B37:V37"/>
    <mergeCell ref="H31:Z31"/>
    <mergeCell ref="AB30:AR30"/>
    <mergeCell ref="AD31:AR31"/>
    <mergeCell ref="AB32:AR33"/>
    <mergeCell ref="A47:V47"/>
    <mergeCell ref="X47:AF47"/>
    <mergeCell ref="A33:AA33"/>
    <mergeCell ref="B28:AA28"/>
    <mergeCell ref="N29:O29"/>
    <mergeCell ref="P29:S29"/>
    <mergeCell ref="P27:S27"/>
    <mergeCell ref="X40:AR40"/>
    <mergeCell ref="B42:M42"/>
    <mergeCell ref="AT1:AV1"/>
    <mergeCell ref="A50:V50"/>
    <mergeCell ref="W50:AR50"/>
    <mergeCell ref="AF1:AR7"/>
    <mergeCell ref="T1:AA1"/>
    <mergeCell ref="T2:AA2"/>
    <mergeCell ref="T35:V35"/>
    <mergeCell ref="Y41:AR41"/>
    <mergeCell ref="AH42:AO42"/>
    <mergeCell ref="AP42:AR42"/>
    <mergeCell ref="Y42:AG42"/>
    <mergeCell ref="W45:AR45"/>
    <mergeCell ref="N42:O42"/>
    <mergeCell ref="P42:V42"/>
    <mergeCell ref="I44:S44"/>
    <mergeCell ref="A45:V45"/>
    <mergeCell ref="I43:S43"/>
    <mergeCell ref="B43:H43"/>
    <mergeCell ref="T44:V44"/>
    <mergeCell ref="T43:V43"/>
    <mergeCell ref="B38:M38"/>
    <mergeCell ref="AN11:AR11"/>
    <mergeCell ref="A12:W12"/>
    <mergeCell ref="A20:AR20"/>
    <mergeCell ref="Y12:AF12"/>
    <mergeCell ref="P30:S30"/>
    <mergeCell ref="B31:G32"/>
    <mergeCell ref="AH12:AR12"/>
    <mergeCell ref="AG17:AR17"/>
    <mergeCell ref="I36:S36"/>
    <mergeCell ref="B22:AA22"/>
    <mergeCell ref="Y27:AA27"/>
    <mergeCell ref="U27:W27"/>
    <mergeCell ref="X26:AA26"/>
    <mergeCell ref="T26:W26"/>
    <mergeCell ref="P26:S26"/>
    <mergeCell ref="H32:P32"/>
    <mergeCell ref="R32:Z32"/>
    <mergeCell ref="P23:AA24"/>
    <mergeCell ref="A15:F15"/>
    <mergeCell ref="AK15:AR15"/>
    <mergeCell ref="AK14:AR14"/>
    <mergeCell ref="A13:W13"/>
    <mergeCell ref="AG16:AR16"/>
    <mergeCell ref="A21:AR21"/>
    <mergeCell ref="A14:F14"/>
    <mergeCell ref="A17:AE17"/>
    <mergeCell ref="N26:O26"/>
  </mergeCells>
  <phoneticPr fontId="11" type="noConversion"/>
  <printOptions horizontalCentered="1" verticalCentered="1"/>
  <pageMargins left="0.27559055118110237" right="0.27559055118110237" top="0.39370078740157483" bottom="0.39370078740157483" header="0.51181102362204722" footer="0"/>
  <pageSetup paperSize="9" scale="81"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17EA-5B48-462F-A93E-1C8ED0D2C263}">
  <sheetPr codeName="List29">
    <tabColor theme="6" tint="0.59999389629810485"/>
    <pageSetUpPr fitToPage="1"/>
  </sheetPr>
  <dimension ref="A1:BZ113"/>
  <sheetViews>
    <sheetView topLeftCell="A25" workbookViewId="0">
      <selection activeCell="A52" sqref="A52:Z55"/>
    </sheetView>
  </sheetViews>
  <sheetFormatPr defaultRowHeight="12.75"/>
  <cols>
    <col min="1" max="14" width="2.7109375" customWidth="1"/>
    <col min="15" max="15" width="3.28515625" customWidth="1"/>
    <col min="16" max="17" width="2.7109375" customWidth="1"/>
    <col min="18" max="18" width="3.28515625" customWidth="1"/>
    <col min="19" max="24" width="2.7109375" customWidth="1"/>
    <col min="25" max="25" width="3.7109375" customWidth="1"/>
    <col min="26" max="28" width="2.7109375" customWidth="1"/>
    <col min="29" max="29" width="3.28515625" customWidth="1"/>
    <col min="30" max="44" width="2.7109375" customWidth="1"/>
    <col min="45" max="49" width="9.140625" style="21"/>
    <col min="50" max="55" width="4.7109375" style="21" hidden="1" customWidth="1"/>
    <col min="56" max="64" width="4.7109375" style="20" hidden="1" customWidth="1"/>
    <col min="65" max="65" width="4.7109375" style="20" customWidth="1"/>
    <col min="66" max="78" width="9.140625" style="20"/>
  </cols>
  <sheetData>
    <row r="1" spans="1:78" ht="21.95" customHeight="1">
      <c r="A1" s="2166" t="s">
        <v>3543</v>
      </c>
      <c r="B1" s="2166"/>
      <c r="C1" s="2166"/>
      <c r="D1" s="2166"/>
      <c r="E1" s="2166"/>
      <c r="F1" s="2166"/>
      <c r="G1" s="2166"/>
      <c r="H1" s="2166"/>
      <c r="I1" s="2166"/>
      <c r="J1" s="2166"/>
      <c r="K1" s="2166"/>
      <c r="L1" s="2166"/>
      <c r="M1" s="2166"/>
      <c r="N1" s="2166"/>
      <c r="O1" s="2166"/>
      <c r="P1" s="2166"/>
      <c r="Q1" s="75"/>
      <c r="R1" s="75"/>
      <c r="S1" s="75"/>
      <c r="T1" s="2147" t="s">
        <v>344</v>
      </c>
      <c r="U1" s="776"/>
      <c r="V1" s="776"/>
      <c r="W1" s="776"/>
      <c r="X1" s="776"/>
      <c r="Y1" s="776"/>
      <c r="Z1" s="776"/>
      <c r="AA1" s="777"/>
      <c r="AB1" s="75"/>
      <c r="AC1" s="75"/>
      <c r="AD1" s="270"/>
      <c r="AE1" s="270"/>
      <c r="AF1" s="2148" t="s">
        <v>3765</v>
      </c>
      <c r="AG1" s="2149"/>
      <c r="AH1" s="2149"/>
      <c r="AI1" s="2149"/>
      <c r="AJ1" s="2149"/>
      <c r="AK1" s="2149"/>
      <c r="AL1" s="2149"/>
      <c r="AM1" s="2149"/>
      <c r="AN1" s="2149"/>
      <c r="AO1" s="2149"/>
      <c r="AP1" s="2149"/>
      <c r="AQ1" s="2149"/>
      <c r="AR1" s="2150"/>
      <c r="AS1" s="384"/>
      <c r="AT1" s="1946" t="s">
        <v>3597</v>
      </c>
      <c r="AU1" s="1947"/>
      <c r="AV1" s="1947"/>
      <c r="AW1" s="384"/>
    </row>
    <row r="2" spans="1:78" ht="18" customHeight="1">
      <c r="A2" s="2166"/>
      <c r="B2" s="2166"/>
      <c r="C2" s="2166"/>
      <c r="D2" s="2166"/>
      <c r="E2" s="2166"/>
      <c r="F2" s="2166"/>
      <c r="G2" s="2166"/>
      <c r="H2" s="2166"/>
      <c r="I2" s="2166"/>
      <c r="J2" s="2166"/>
      <c r="K2" s="2166"/>
      <c r="L2" s="2166"/>
      <c r="M2" s="2166"/>
      <c r="N2" s="2166"/>
      <c r="O2" s="2166"/>
      <c r="P2" s="2166"/>
      <c r="Q2" s="75"/>
      <c r="R2" s="261"/>
      <c r="S2" s="75"/>
      <c r="T2" s="2160" t="s">
        <v>345</v>
      </c>
      <c r="U2" s="655"/>
      <c r="V2" s="655"/>
      <c r="W2" s="655"/>
      <c r="X2" s="655"/>
      <c r="Y2" s="655"/>
      <c r="Z2" s="655"/>
      <c r="AA2" s="760"/>
      <c r="AB2" s="75"/>
      <c r="AC2" s="261"/>
      <c r="AD2" s="270"/>
      <c r="AE2" s="270"/>
      <c r="AF2" s="2151"/>
      <c r="AG2" s="2152"/>
      <c r="AH2" s="2152"/>
      <c r="AI2" s="2152"/>
      <c r="AJ2" s="2152"/>
      <c r="AK2" s="2152"/>
      <c r="AL2" s="2152"/>
      <c r="AM2" s="2152"/>
      <c r="AN2" s="2152"/>
      <c r="AO2" s="2152"/>
      <c r="AP2" s="2152"/>
      <c r="AQ2" s="2152"/>
      <c r="AR2" s="2153"/>
      <c r="AS2" s="384"/>
      <c r="AT2" s="507" t="s">
        <v>3560</v>
      </c>
      <c r="AU2" s="507"/>
      <c r="AV2" s="507" t="s">
        <v>3561</v>
      </c>
      <c r="AW2" s="384"/>
    </row>
    <row r="3" spans="1:78" ht="14.25" customHeight="1">
      <c r="A3" s="2166"/>
      <c r="B3" s="2166"/>
      <c r="C3" s="2166"/>
      <c r="D3" s="2166"/>
      <c r="E3" s="2166"/>
      <c r="F3" s="2166"/>
      <c r="G3" s="2166"/>
      <c r="H3" s="2166"/>
      <c r="I3" s="2166"/>
      <c r="J3" s="2166"/>
      <c r="K3" s="2166"/>
      <c r="L3" s="2166"/>
      <c r="M3" s="2166"/>
      <c r="N3" s="2166"/>
      <c r="O3" s="2166"/>
      <c r="P3" s="2166"/>
      <c r="Q3" s="1021"/>
      <c r="R3" s="655"/>
      <c r="S3" s="760"/>
      <c r="T3" s="2161" t="s">
        <v>346</v>
      </c>
      <c r="U3" s="655"/>
      <c r="V3" s="655"/>
      <c r="W3" s="655"/>
      <c r="X3" s="655"/>
      <c r="Y3" s="655"/>
      <c r="Z3" s="655"/>
      <c r="AA3" s="760"/>
      <c r="AB3" s="75"/>
      <c r="AC3" s="75"/>
      <c r="AD3" s="270"/>
      <c r="AE3" s="270"/>
      <c r="AF3" s="2151"/>
      <c r="AG3" s="2152"/>
      <c r="AH3" s="2152"/>
      <c r="AI3" s="2152"/>
      <c r="AJ3" s="2152"/>
      <c r="AK3" s="2152"/>
      <c r="AL3" s="2152"/>
      <c r="AM3" s="2152"/>
      <c r="AN3" s="2152"/>
      <c r="AO3" s="2152"/>
      <c r="AP3" s="2152"/>
      <c r="AQ3" s="2152"/>
      <c r="AR3" s="2153"/>
      <c r="AS3" s="384"/>
      <c r="AT3" s="385"/>
      <c r="AU3" s="384"/>
      <c r="AV3" s="385"/>
      <c r="AW3" s="384"/>
    </row>
    <row r="4" spans="1:78" ht="21.95" customHeight="1">
      <c r="A4" s="2167"/>
      <c r="B4" s="2167"/>
      <c r="C4" s="2167"/>
      <c r="D4" s="2167"/>
      <c r="E4" s="2167"/>
      <c r="F4" s="2167"/>
      <c r="G4" s="2167"/>
      <c r="H4" s="2167"/>
      <c r="I4" s="2167"/>
      <c r="J4" s="2167"/>
      <c r="K4" s="2167"/>
      <c r="L4" s="2167"/>
      <c r="M4" s="2167"/>
      <c r="N4" s="2167"/>
      <c r="O4" s="2167"/>
      <c r="P4" s="2167"/>
      <c r="Q4" s="655"/>
      <c r="R4" s="655"/>
      <c r="S4" s="760"/>
      <c r="T4" s="2162">
        <v>2024</v>
      </c>
      <c r="U4" s="1312"/>
      <c r="V4" s="1312"/>
      <c r="W4" s="1312"/>
      <c r="X4" s="1312"/>
      <c r="Y4" s="1312"/>
      <c r="Z4" s="1312"/>
      <c r="AA4" s="2163"/>
      <c r="AB4" s="75"/>
      <c r="AC4" s="75"/>
      <c r="AD4" s="270"/>
      <c r="AE4" s="270"/>
      <c r="AF4" s="2151"/>
      <c r="AG4" s="2152"/>
      <c r="AH4" s="2152"/>
      <c r="AI4" s="2152"/>
      <c r="AJ4" s="2152"/>
      <c r="AK4" s="2152"/>
      <c r="AL4" s="2152"/>
      <c r="AM4" s="2152"/>
      <c r="AN4" s="2152"/>
      <c r="AO4" s="2152"/>
      <c r="AP4" s="2152"/>
      <c r="AQ4" s="2152"/>
      <c r="AR4" s="2153"/>
      <c r="AS4" s="384"/>
      <c r="AT4" s="384"/>
      <c r="AU4" s="384"/>
      <c r="AV4" s="384"/>
      <c r="AW4" s="384"/>
    </row>
    <row r="5" spans="1:78" ht="15" customHeight="1">
      <c r="A5" s="2164" t="s">
        <v>3854</v>
      </c>
      <c r="B5" s="2164"/>
      <c r="C5" s="2164"/>
      <c r="D5" s="2164"/>
      <c r="E5" s="2164"/>
      <c r="F5" s="2164"/>
      <c r="G5" s="2164"/>
      <c r="H5" s="2164"/>
      <c r="I5" s="2164"/>
      <c r="J5" s="2164"/>
      <c r="K5" s="2164"/>
      <c r="L5" s="2164"/>
      <c r="M5" s="2164"/>
      <c r="N5" s="2164"/>
      <c r="O5" s="2164"/>
      <c r="P5" s="2164"/>
      <c r="Q5" s="2164"/>
      <c r="R5" s="2164"/>
      <c r="S5" s="142"/>
      <c r="T5" s="2165"/>
      <c r="U5" s="1703"/>
      <c r="V5" s="1703"/>
      <c r="W5" s="1703"/>
      <c r="X5" s="1703"/>
      <c r="Y5" s="1703"/>
      <c r="Z5" s="1703"/>
      <c r="AA5" s="1703"/>
      <c r="AB5" s="75"/>
      <c r="AC5" s="75"/>
      <c r="AD5" s="270"/>
      <c r="AE5" s="270"/>
      <c r="AF5" s="2151"/>
      <c r="AG5" s="2152"/>
      <c r="AH5" s="2152"/>
      <c r="AI5" s="2152"/>
      <c r="AJ5" s="2152"/>
      <c r="AK5" s="2152"/>
      <c r="AL5" s="2152"/>
      <c r="AM5" s="2152"/>
      <c r="AN5" s="2152"/>
      <c r="AO5" s="2152"/>
      <c r="AP5" s="2152"/>
      <c r="AQ5" s="2152"/>
      <c r="AR5" s="2153"/>
    </row>
    <row r="6" spans="1:78" ht="15" customHeight="1">
      <c r="A6" s="2164"/>
      <c r="B6" s="2164"/>
      <c r="C6" s="2164"/>
      <c r="D6" s="2164"/>
      <c r="E6" s="2164"/>
      <c r="F6" s="2164"/>
      <c r="G6" s="2164"/>
      <c r="H6" s="2164"/>
      <c r="I6" s="2164"/>
      <c r="J6" s="2164"/>
      <c r="K6" s="2164"/>
      <c r="L6" s="2164"/>
      <c r="M6" s="2164"/>
      <c r="N6" s="2164"/>
      <c r="O6" s="2164"/>
      <c r="P6" s="2164"/>
      <c r="Q6" s="2164"/>
      <c r="R6" s="2164"/>
      <c r="S6" s="142"/>
      <c r="T6" s="75"/>
      <c r="U6" s="2168" t="s">
        <v>62</v>
      </c>
      <c r="V6" s="2168"/>
      <c r="W6" s="2168"/>
      <c r="X6" s="2168"/>
      <c r="Y6" s="2168"/>
      <c r="Z6" s="2168"/>
      <c r="AA6" s="75"/>
      <c r="AB6" s="75"/>
      <c r="AC6" s="75"/>
      <c r="AD6" s="75"/>
      <c r="AE6" s="75"/>
      <c r="AF6" s="2154"/>
      <c r="AG6" s="2155"/>
      <c r="AH6" s="2155"/>
      <c r="AI6" s="2155"/>
      <c r="AJ6" s="2155"/>
      <c r="AK6" s="2155"/>
      <c r="AL6" s="2155"/>
      <c r="AM6" s="2155"/>
      <c r="AN6" s="2155"/>
      <c r="AO6" s="2155"/>
      <c r="AP6" s="2155"/>
      <c r="AQ6" s="2155"/>
      <c r="AR6" s="2156"/>
    </row>
    <row r="7" spans="1:78" ht="10.5" customHeight="1">
      <c r="A7" s="2169" t="s">
        <v>3506</v>
      </c>
      <c r="B7" s="2170"/>
      <c r="C7" s="2170"/>
      <c r="D7" s="2170"/>
      <c r="E7" s="2170"/>
      <c r="F7" s="2170"/>
      <c r="G7" s="2170"/>
      <c r="H7" s="2170"/>
      <c r="I7" s="2170"/>
      <c r="J7" s="2170"/>
      <c r="K7" s="2170"/>
      <c r="L7" s="2170"/>
      <c r="M7" s="2170"/>
      <c r="N7" s="2170"/>
      <c r="O7" s="2170"/>
      <c r="P7" s="2170"/>
      <c r="Q7" s="2170"/>
      <c r="R7" s="2170"/>
      <c r="S7" s="2170"/>
      <c r="T7" s="2171" t="s">
        <v>316</v>
      </c>
      <c r="U7" s="655"/>
      <c r="V7" s="2172"/>
      <c r="W7" s="262" t="s">
        <v>246</v>
      </c>
      <c r="X7" s="2173" t="s">
        <v>317</v>
      </c>
      <c r="Y7" s="2174"/>
      <c r="Z7" s="262"/>
      <c r="AA7" s="75"/>
      <c r="AB7" s="75"/>
      <c r="AC7" s="75"/>
      <c r="AD7" s="75"/>
      <c r="AE7" s="75"/>
      <c r="AF7" s="2157"/>
      <c r="AG7" s="2158"/>
      <c r="AH7" s="2158"/>
      <c r="AI7" s="2158"/>
      <c r="AJ7" s="2158"/>
      <c r="AK7" s="2158"/>
      <c r="AL7" s="2158"/>
      <c r="AM7" s="2158"/>
      <c r="AN7" s="2158"/>
      <c r="AO7" s="2158"/>
      <c r="AP7" s="2158"/>
      <c r="AQ7" s="2158"/>
      <c r="AR7" s="2159"/>
    </row>
    <row r="8" spans="1:78">
      <c r="A8" s="2124" t="s">
        <v>85</v>
      </c>
      <c r="B8" s="2124"/>
      <c r="C8" s="2124"/>
      <c r="D8" s="2124"/>
      <c r="E8" s="2124"/>
      <c r="F8" s="2124"/>
      <c r="G8" s="2124"/>
      <c r="H8" s="2124"/>
      <c r="I8" s="2124"/>
      <c r="J8" s="2124"/>
      <c r="K8" s="2124"/>
      <c r="L8" s="2124"/>
      <c r="M8" s="2124"/>
      <c r="N8" s="2124"/>
      <c r="O8" s="2124"/>
      <c r="P8" s="2124"/>
      <c r="Q8" s="2124"/>
      <c r="R8" s="2124"/>
      <c r="S8" s="2124"/>
      <c r="T8" s="2124"/>
      <c r="U8" s="2124"/>
      <c r="V8" s="2124"/>
      <c r="W8" s="2124"/>
      <c r="X8" s="2124"/>
      <c r="Y8" s="2124"/>
      <c r="Z8" s="2124"/>
      <c r="AA8" s="2124"/>
      <c r="AB8" s="2124"/>
      <c r="AC8" s="2124"/>
      <c r="AD8" s="2124"/>
      <c r="AE8" s="2124"/>
      <c r="AF8" s="2124"/>
      <c r="AG8" s="2124"/>
      <c r="AH8" s="2124"/>
      <c r="AI8" s="2124"/>
      <c r="AJ8" s="2124"/>
      <c r="AK8" s="2124"/>
      <c r="AL8" s="2124"/>
      <c r="AM8" s="2124"/>
      <c r="AN8" s="2124"/>
      <c r="AO8" s="2124"/>
      <c r="AP8" s="2124"/>
      <c r="AQ8" s="2124"/>
      <c r="AR8" s="2124"/>
    </row>
    <row r="9" spans="1:78" ht="15" customHeight="1">
      <c r="A9" s="2125" t="s">
        <v>114</v>
      </c>
      <c r="B9" s="2126"/>
      <c r="C9" s="2126"/>
      <c r="D9" s="2126"/>
      <c r="E9" s="2126"/>
      <c r="F9" s="2126"/>
      <c r="G9" s="2126"/>
      <c r="H9" s="2126"/>
      <c r="I9" s="2126"/>
      <c r="J9" s="2126"/>
      <c r="K9" s="2126"/>
      <c r="L9" s="2126"/>
      <c r="M9" s="2126"/>
      <c r="N9" s="2126"/>
      <c r="O9" s="2126"/>
      <c r="P9" s="2126"/>
      <c r="Q9" s="2126"/>
      <c r="R9" s="2126"/>
      <c r="S9" s="2126"/>
      <c r="T9" s="2126"/>
      <c r="U9" s="2126"/>
      <c r="V9" s="2126"/>
      <c r="W9" s="2126"/>
      <c r="X9" s="2126"/>
      <c r="Y9" s="2126"/>
      <c r="Z9" s="2126"/>
      <c r="AA9" s="2126"/>
      <c r="AB9" s="2126"/>
      <c r="AC9" s="2126"/>
      <c r="AD9" s="2126"/>
      <c r="AE9" s="2126"/>
      <c r="AF9" s="2126"/>
      <c r="AG9" s="2126"/>
      <c r="AH9" s="2126"/>
      <c r="AI9" s="2126"/>
      <c r="AJ9" s="2126"/>
      <c r="AK9" s="2126"/>
      <c r="AL9" s="2126"/>
      <c r="AM9" s="2126"/>
      <c r="AN9" s="2126"/>
      <c r="AO9" s="2126"/>
      <c r="AP9" s="2126"/>
      <c r="AQ9" s="2126"/>
      <c r="AR9" s="2127"/>
    </row>
    <row r="10" spans="1:78" s="281" customFormat="1" ht="9.9499999999999993" customHeight="1">
      <c r="A10" s="2128" t="s">
        <v>91</v>
      </c>
      <c r="B10" s="2129"/>
      <c r="C10" s="2129"/>
      <c r="D10" s="2129"/>
      <c r="E10" s="2129"/>
      <c r="F10" s="2129"/>
      <c r="G10" s="2129"/>
      <c r="H10" s="2129"/>
      <c r="I10" s="2129"/>
      <c r="J10" s="2129"/>
      <c r="K10" s="2129"/>
      <c r="L10" s="2129"/>
      <c r="M10" s="2129"/>
      <c r="N10" s="2129"/>
      <c r="O10" s="2129"/>
      <c r="P10" s="2129"/>
      <c r="Q10" s="2129"/>
      <c r="R10" s="2129"/>
      <c r="S10" s="2129"/>
      <c r="T10" s="2129"/>
      <c r="U10" s="2129"/>
      <c r="V10" s="2129"/>
      <c r="W10" s="2129"/>
      <c r="X10" s="279"/>
      <c r="Y10" s="2129" t="s">
        <v>90</v>
      </c>
      <c r="Z10" s="2129"/>
      <c r="AA10" s="2129"/>
      <c r="AB10" s="2129"/>
      <c r="AC10" s="2129"/>
      <c r="AD10" s="2129"/>
      <c r="AE10" s="2129"/>
      <c r="AF10" s="2129"/>
      <c r="AG10" s="2129"/>
      <c r="AH10" s="2129"/>
      <c r="AI10" s="2129"/>
      <c r="AJ10" s="2129"/>
      <c r="AK10" s="2129"/>
      <c r="AL10" s="2129"/>
      <c r="AM10" s="279"/>
      <c r="AN10" s="2129" t="s">
        <v>109</v>
      </c>
      <c r="AO10" s="2129"/>
      <c r="AP10" s="2129"/>
      <c r="AQ10" s="2129"/>
      <c r="AR10" s="2146"/>
      <c r="AS10" s="280"/>
      <c r="AT10" s="280"/>
      <c r="AU10" s="280"/>
      <c r="AV10" s="280"/>
      <c r="AW10" s="280"/>
      <c r="AX10" s="280"/>
      <c r="AY10" s="280"/>
      <c r="AZ10" s="280"/>
      <c r="BA10" s="280"/>
      <c r="BB10" s="280"/>
      <c r="BC10" s="280"/>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row>
    <row r="11" spans="1:78" s="107" customFormat="1" ht="24" customHeight="1">
      <c r="A11" s="2135" t="str">
        <f>+CONCATENATE(ZAKL_DATA!B5)</f>
        <v/>
      </c>
      <c r="B11" s="2136"/>
      <c r="C11" s="2136"/>
      <c r="D11" s="2136"/>
      <c r="E11" s="2136"/>
      <c r="F11" s="2136"/>
      <c r="G11" s="2136"/>
      <c r="H11" s="2136"/>
      <c r="I11" s="2136"/>
      <c r="J11" s="2136"/>
      <c r="K11" s="2136"/>
      <c r="L11" s="2136"/>
      <c r="M11" s="2136"/>
      <c r="N11" s="2136"/>
      <c r="O11" s="2136"/>
      <c r="P11" s="2136"/>
      <c r="Q11" s="2136"/>
      <c r="R11" s="2136"/>
      <c r="S11" s="2136"/>
      <c r="T11" s="2136"/>
      <c r="U11" s="2136"/>
      <c r="V11" s="2136"/>
      <c r="W11" s="2137"/>
      <c r="X11" s="271"/>
      <c r="Y11" s="2135" t="str">
        <f>+CONCATENATE(+ZAKL_DATA!B4)</f>
        <v/>
      </c>
      <c r="Z11" s="2136"/>
      <c r="AA11" s="2136"/>
      <c r="AB11" s="2136"/>
      <c r="AC11" s="2136"/>
      <c r="AD11" s="2136"/>
      <c r="AE11" s="2136"/>
      <c r="AF11" s="2136"/>
      <c r="AG11" s="2136"/>
      <c r="AH11" s="2136"/>
      <c r="AI11" s="2136"/>
      <c r="AJ11" s="2136"/>
      <c r="AK11" s="2136"/>
      <c r="AL11" s="2137"/>
      <c r="AM11" s="271"/>
      <c r="AN11" s="2178" t="str">
        <f>+CONCATENATE(+ZAKL_DATA!B7)</f>
        <v/>
      </c>
      <c r="AO11" s="2179"/>
      <c r="AP11" s="2179"/>
      <c r="AQ11" s="2179"/>
      <c r="AR11" s="2180"/>
      <c r="AS11" s="110"/>
      <c r="AT11" s="110"/>
      <c r="AU11" s="110"/>
      <c r="AV11" s="110"/>
      <c r="AW11" s="110"/>
      <c r="AX11" s="110"/>
      <c r="AY11" s="110"/>
      <c r="AZ11" s="110"/>
      <c r="BA11" s="110"/>
      <c r="BB11" s="110"/>
      <c r="BC11" s="110"/>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row>
    <row r="12" spans="1:78" s="281" customFormat="1" ht="9.9499999999999993" customHeight="1">
      <c r="A12" s="2128" t="s">
        <v>259</v>
      </c>
      <c r="B12" s="2129"/>
      <c r="C12" s="2129"/>
      <c r="D12" s="2129"/>
      <c r="E12" s="2129"/>
      <c r="F12" s="2129"/>
      <c r="G12" s="2129"/>
      <c r="H12" s="2129"/>
      <c r="I12" s="2129"/>
      <c r="J12" s="2129"/>
      <c r="K12" s="2129"/>
      <c r="L12" s="2129"/>
      <c r="M12" s="2129"/>
      <c r="N12" s="2129"/>
      <c r="O12" s="2129"/>
      <c r="P12" s="2129"/>
      <c r="Q12" s="2129"/>
      <c r="R12" s="2129"/>
      <c r="S12" s="2129"/>
      <c r="T12" s="2129"/>
      <c r="U12" s="2129"/>
      <c r="V12" s="2129"/>
      <c r="W12" s="2129"/>
      <c r="X12" s="279"/>
      <c r="Y12" s="2130" t="s">
        <v>3595</v>
      </c>
      <c r="Z12" s="2130"/>
      <c r="AA12" s="2130"/>
      <c r="AB12" s="2130"/>
      <c r="AC12" s="2131"/>
      <c r="AD12" s="2131"/>
      <c r="AE12" s="2131"/>
      <c r="AF12" s="2131"/>
      <c r="AG12" s="508"/>
      <c r="AH12" s="2132" t="s">
        <v>3507</v>
      </c>
      <c r="AI12" s="2133"/>
      <c r="AJ12" s="2133"/>
      <c r="AK12" s="2133"/>
      <c r="AL12" s="2133"/>
      <c r="AM12" s="2133"/>
      <c r="AN12" s="2133"/>
      <c r="AO12" s="2133"/>
      <c r="AP12" s="2133"/>
      <c r="AQ12" s="2133"/>
      <c r="AR12" s="2134"/>
      <c r="AS12" s="280"/>
      <c r="AT12" s="280"/>
      <c r="AU12" s="280"/>
      <c r="AV12" s="280"/>
      <c r="AW12" s="280"/>
      <c r="AX12" s="280"/>
      <c r="AY12" s="280"/>
      <c r="AZ12" s="280"/>
      <c r="BA12" s="280"/>
      <c r="BB12" s="280"/>
      <c r="BC12" s="280"/>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row>
    <row r="13" spans="1:78" s="107" customFormat="1" ht="24" customHeight="1">
      <c r="A13" s="2135" t="str">
        <f>+CONCATENATE(+ZAKL_DATA!B16)</f>
        <v/>
      </c>
      <c r="B13" s="2136"/>
      <c r="C13" s="2136"/>
      <c r="D13" s="2136"/>
      <c r="E13" s="2136"/>
      <c r="F13" s="2136"/>
      <c r="G13" s="2136"/>
      <c r="H13" s="2136"/>
      <c r="I13" s="2136"/>
      <c r="J13" s="2136"/>
      <c r="K13" s="2136"/>
      <c r="L13" s="2136"/>
      <c r="M13" s="2136"/>
      <c r="N13" s="2136"/>
      <c r="O13" s="2136"/>
      <c r="P13" s="2136"/>
      <c r="Q13" s="2136"/>
      <c r="R13" s="2136"/>
      <c r="S13" s="2136"/>
      <c r="T13" s="2136"/>
      <c r="U13" s="2136"/>
      <c r="V13" s="2136"/>
      <c r="W13" s="2137"/>
      <c r="X13" s="271"/>
      <c r="Y13" s="2138" t="str">
        <f>+CONCATENATE(ZAKL_DATA!B17)</f>
        <v/>
      </c>
      <c r="Z13" s="2139"/>
      <c r="AA13" s="2139"/>
      <c r="AB13" s="2139"/>
      <c r="AC13" s="2140"/>
      <c r="AD13" s="2140"/>
      <c r="AE13" s="2140"/>
      <c r="AF13" s="2141"/>
      <c r="AG13" s="271"/>
      <c r="AH13" s="2142" t="str">
        <f>+CONCATENATE('DAP1'!A9)</f>
        <v/>
      </c>
      <c r="AI13" s="2143"/>
      <c r="AJ13" s="2143"/>
      <c r="AK13" s="2143"/>
      <c r="AL13" s="2143"/>
      <c r="AM13" s="2143"/>
      <c r="AN13" s="2144"/>
      <c r="AO13" s="2144"/>
      <c r="AP13" s="2144"/>
      <c r="AQ13" s="2144"/>
      <c r="AR13" s="2145"/>
      <c r="AS13" s="110"/>
      <c r="AT13" s="110"/>
      <c r="AU13" s="110"/>
      <c r="AV13" s="110"/>
      <c r="AW13" s="110"/>
      <c r="AX13" s="110"/>
      <c r="AY13" s="110"/>
      <c r="AZ13" s="110"/>
      <c r="BA13" s="110"/>
      <c r="BB13" s="110"/>
      <c r="BC13" s="110"/>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row>
    <row r="14" spans="1:78" s="281" customFormat="1" ht="12.6" customHeight="1">
      <c r="A14" s="2186" t="s">
        <v>204</v>
      </c>
      <c r="B14" s="2187"/>
      <c r="C14" s="2187"/>
      <c r="D14" s="2187"/>
      <c r="E14" s="2187"/>
      <c r="F14" s="2187"/>
      <c r="G14" s="279"/>
      <c r="H14" s="2181" t="s">
        <v>260</v>
      </c>
      <c r="I14" s="2181"/>
      <c r="J14" s="2181"/>
      <c r="K14" s="2181"/>
      <c r="L14" s="2181"/>
      <c r="M14" s="2181"/>
      <c r="N14" s="2181"/>
      <c r="O14" s="2181"/>
      <c r="P14" s="2181"/>
      <c r="Q14" s="2181"/>
      <c r="R14" s="2181"/>
      <c r="S14" s="2181"/>
      <c r="T14" s="2181"/>
      <c r="U14" s="2181"/>
      <c r="V14" s="2181"/>
      <c r="W14" s="2181"/>
      <c r="X14" s="2181"/>
      <c r="Y14" s="2181"/>
      <c r="Z14" s="2181"/>
      <c r="AA14" s="2181"/>
      <c r="AB14" s="2181"/>
      <c r="AC14" s="2181"/>
      <c r="AD14" s="2181"/>
      <c r="AE14" s="2181"/>
      <c r="AF14" s="2181"/>
      <c r="AG14" s="2181"/>
      <c r="AH14" s="2181"/>
      <c r="AI14" s="2181"/>
      <c r="AJ14" s="279"/>
      <c r="AK14" s="2188" t="s">
        <v>3970</v>
      </c>
      <c r="AL14" s="2188"/>
      <c r="AM14" s="2188"/>
      <c r="AN14" s="2188"/>
      <c r="AO14" s="2188"/>
      <c r="AP14" s="2188"/>
      <c r="AQ14" s="2188"/>
      <c r="AR14" s="2189"/>
      <c r="AS14" s="280"/>
      <c r="AT14" s="280"/>
      <c r="AU14" s="280"/>
      <c r="AV14" s="280"/>
      <c r="AW14" s="280"/>
      <c r="AX14" s="280"/>
      <c r="AY14" s="280"/>
      <c r="AZ14" s="280"/>
      <c r="BA14" s="280"/>
      <c r="BB14" s="280"/>
      <c r="BC14" s="280"/>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row>
    <row r="15" spans="1:78" s="107" customFormat="1" ht="24" customHeight="1">
      <c r="A15" s="2138" t="str">
        <f>CONCATENATE(+ZAKL_DATA!B19)</f>
        <v/>
      </c>
      <c r="B15" s="2140"/>
      <c r="C15" s="2140"/>
      <c r="D15" s="2140"/>
      <c r="E15" s="2140"/>
      <c r="F15" s="2141"/>
      <c r="G15" s="271"/>
      <c r="H15" s="2190" t="str">
        <f>+CONCATENATE(ZAKL_DATA!B18)</f>
        <v/>
      </c>
      <c r="I15" s="2191"/>
      <c r="J15" s="2191"/>
      <c r="K15" s="2191"/>
      <c r="L15" s="2191"/>
      <c r="M15" s="2191"/>
      <c r="N15" s="2191"/>
      <c r="O15" s="2191"/>
      <c r="P15" s="2191"/>
      <c r="Q15" s="2191"/>
      <c r="R15" s="2191"/>
      <c r="S15" s="2191"/>
      <c r="T15" s="2191"/>
      <c r="U15" s="2191"/>
      <c r="V15" s="2191"/>
      <c r="W15" s="2191"/>
      <c r="X15" s="2191"/>
      <c r="Y15" s="2191"/>
      <c r="Z15" s="2191"/>
      <c r="AA15" s="2191"/>
      <c r="AB15" s="2191"/>
      <c r="AC15" s="2191"/>
      <c r="AD15" s="2191"/>
      <c r="AE15" s="2191"/>
      <c r="AF15" s="2191"/>
      <c r="AG15" s="2191"/>
      <c r="AH15" s="2191"/>
      <c r="AI15" s="2192"/>
      <c r="AJ15" s="271"/>
      <c r="AK15" s="2193" t="str">
        <f>+CONCATENATE(+ZAKL_DATA!B10)</f>
        <v/>
      </c>
      <c r="AL15" s="2194"/>
      <c r="AM15" s="2194"/>
      <c r="AN15" s="2194"/>
      <c r="AO15" s="2194"/>
      <c r="AP15" s="2194"/>
      <c r="AQ15" s="2194"/>
      <c r="AR15" s="2195"/>
      <c r="AS15" s="110"/>
      <c r="AT15" s="110"/>
      <c r="AU15" s="110"/>
      <c r="AV15" s="110"/>
      <c r="AW15" s="110"/>
      <c r="AX15" s="110"/>
      <c r="AY15" s="110"/>
      <c r="AZ15" s="110"/>
      <c r="BA15" s="110"/>
      <c r="BB15" s="110"/>
      <c r="BC15" s="110"/>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row>
    <row r="16" spans="1:78" s="281" customFormat="1" ht="9.9499999999999993" customHeight="1">
      <c r="A16" s="2196" t="s">
        <v>3508</v>
      </c>
      <c r="B16" s="2197"/>
      <c r="C16" s="2197"/>
      <c r="D16" s="2197"/>
      <c r="E16" s="2197"/>
      <c r="F16" s="2197"/>
      <c r="G16" s="2197"/>
      <c r="H16" s="2197"/>
      <c r="I16" s="2197"/>
      <c r="J16" s="2197"/>
      <c r="K16" s="2119"/>
      <c r="L16" s="2119"/>
      <c r="M16" s="2119"/>
      <c r="N16" s="2119"/>
      <c r="O16" s="2119"/>
      <c r="P16" s="2119"/>
      <c r="Q16" s="2119"/>
      <c r="R16" s="2119"/>
      <c r="S16" s="2119"/>
      <c r="T16" s="2119"/>
      <c r="U16" s="2119"/>
      <c r="V16" s="2119"/>
      <c r="W16" s="2119"/>
      <c r="X16" s="2119"/>
      <c r="Y16" s="2119"/>
      <c r="Z16" s="2119"/>
      <c r="AA16" s="2119"/>
      <c r="AB16" s="2119"/>
      <c r="AC16" s="2119"/>
      <c r="AD16" s="2119"/>
      <c r="AE16" s="2119"/>
      <c r="AF16" s="279"/>
      <c r="AG16" s="2181" t="s">
        <v>31</v>
      </c>
      <c r="AH16" s="2181"/>
      <c r="AI16" s="2181"/>
      <c r="AJ16" s="2181"/>
      <c r="AK16" s="2181"/>
      <c r="AL16" s="2181"/>
      <c r="AM16" s="2181"/>
      <c r="AN16" s="2181"/>
      <c r="AO16" s="2181"/>
      <c r="AP16" s="2181"/>
      <c r="AQ16" s="2181"/>
      <c r="AR16" s="2182"/>
      <c r="AS16" s="280"/>
      <c r="AT16" s="280"/>
      <c r="AU16" s="280"/>
      <c r="AV16" s="280"/>
      <c r="AW16" s="280"/>
      <c r="AX16" s="280"/>
      <c r="AY16" s="280"/>
      <c r="AZ16" s="280"/>
      <c r="BA16" s="280"/>
      <c r="BB16" s="280"/>
      <c r="BC16" s="280"/>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row>
    <row r="17" spans="1:78" s="107" customFormat="1" ht="24" customHeight="1">
      <c r="A17" s="2198" t="str">
        <f>+CONCATENATE(ZAKL_DATA!B32," / ",ZAKL_DATA!B33)</f>
        <v xml:space="preserve"> / </v>
      </c>
      <c r="B17" s="2199"/>
      <c r="C17" s="2199"/>
      <c r="D17" s="2199"/>
      <c r="E17" s="2199"/>
      <c r="F17" s="2199"/>
      <c r="G17" s="2199"/>
      <c r="H17" s="2199"/>
      <c r="I17" s="2199"/>
      <c r="J17" s="2199"/>
      <c r="K17" s="2199"/>
      <c r="L17" s="2199"/>
      <c r="M17" s="2199"/>
      <c r="N17" s="2199"/>
      <c r="O17" s="2199"/>
      <c r="P17" s="2199"/>
      <c r="Q17" s="2199"/>
      <c r="R17" s="2199"/>
      <c r="S17" s="2199"/>
      <c r="T17" s="2199"/>
      <c r="U17" s="2199"/>
      <c r="V17" s="2199"/>
      <c r="W17" s="2199"/>
      <c r="X17" s="2199"/>
      <c r="Y17" s="2199"/>
      <c r="Z17" s="2199"/>
      <c r="AA17" s="2199"/>
      <c r="AB17" s="2199"/>
      <c r="AC17" s="2199"/>
      <c r="AD17" s="2199"/>
      <c r="AE17" s="2200"/>
      <c r="AF17" s="272"/>
      <c r="AG17" s="2183" t="str">
        <f>++CONCATENATE(ZAKL_DATA!B25)</f>
        <v/>
      </c>
      <c r="AH17" s="2184"/>
      <c r="AI17" s="2184"/>
      <c r="AJ17" s="2184"/>
      <c r="AK17" s="2184"/>
      <c r="AL17" s="2184"/>
      <c r="AM17" s="2184"/>
      <c r="AN17" s="2184"/>
      <c r="AO17" s="2184"/>
      <c r="AP17" s="2184"/>
      <c r="AQ17" s="2184"/>
      <c r="AR17" s="2185"/>
      <c r="AS17" s="110"/>
      <c r="AT17" s="110"/>
      <c r="AU17" s="110"/>
      <c r="AV17" s="110"/>
      <c r="AW17" s="110"/>
      <c r="AX17" s="110"/>
      <c r="AY17" s="110"/>
      <c r="AZ17" s="110"/>
      <c r="BA17" s="110"/>
      <c r="BB17" s="110"/>
      <c r="BC17" s="110"/>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row>
    <row r="18" spans="1:78" s="281" customFormat="1" ht="9.9499999999999993" customHeight="1">
      <c r="A18" s="2201" t="s">
        <v>205</v>
      </c>
      <c r="B18" s="2202"/>
      <c r="C18" s="2202"/>
      <c r="D18" s="2202"/>
      <c r="E18" s="2202"/>
      <c r="F18" s="2202"/>
      <c r="G18" s="2202"/>
      <c r="H18" s="2202"/>
      <c r="I18" s="2202"/>
      <c r="J18" s="2202"/>
      <c r="K18" s="2202"/>
      <c r="L18" s="2202"/>
      <c r="M18" s="2202"/>
      <c r="N18" s="2202"/>
      <c r="O18" s="2202"/>
      <c r="P18" s="2202"/>
      <c r="Q18" s="2202"/>
      <c r="R18" s="2202"/>
      <c r="S18" s="2202"/>
      <c r="T18" s="2202"/>
      <c r="U18" s="2202"/>
      <c r="V18" s="2202"/>
      <c r="W18" s="2202"/>
      <c r="X18" s="2202"/>
      <c r="Y18" s="2202"/>
      <c r="Z18" s="2202"/>
      <c r="AA18" s="2202"/>
      <c r="AB18" s="2202"/>
      <c r="AC18" s="2202"/>
      <c r="AD18" s="2202"/>
      <c r="AE18" s="2202"/>
      <c r="AF18" s="2202"/>
      <c r="AG18" s="2202"/>
      <c r="AH18" s="2202"/>
      <c r="AI18" s="2202"/>
      <c r="AJ18" s="2202"/>
      <c r="AK18" s="2202"/>
      <c r="AL18" s="2202"/>
      <c r="AM18" s="2202"/>
      <c r="AN18" s="2202"/>
      <c r="AO18" s="2202"/>
      <c r="AP18" s="2202"/>
      <c r="AQ18" s="2202"/>
      <c r="AR18" s="2203"/>
      <c r="AS18" s="280"/>
      <c r="AT18" s="280"/>
      <c r="AU18" s="280"/>
      <c r="AV18" s="280"/>
      <c r="AW18" s="280"/>
      <c r="AX18" s="280"/>
      <c r="AY18" s="280"/>
      <c r="AZ18" s="280"/>
      <c r="BA18" s="280"/>
      <c r="BB18" s="280"/>
      <c r="BC18" s="280"/>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row>
    <row r="19" spans="1:78" s="107" customFormat="1" ht="24" customHeight="1">
      <c r="A19" s="2204" t="str">
        <f>+CONCATENATE(ZAKL_DATA!B27)</f>
        <v/>
      </c>
      <c r="B19" s="2179"/>
      <c r="C19" s="2179"/>
      <c r="D19" s="2179"/>
      <c r="E19" s="2179"/>
      <c r="F19" s="2179"/>
      <c r="G19" s="2179"/>
      <c r="H19" s="2179"/>
      <c r="I19" s="2179"/>
      <c r="J19" s="2179"/>
      <c r="K19" s="2179"/>
      <c r="L19" s="2179"/>
      <c r="M19" s="2179"/>
      <c r="N19" s="2179"/>
      <c r="O19" s="2179"/>
      <c r="P19" s="2179"/>
      <c r="Q19" s="2179"/>
      <c r="R19" s="2179"/>
      <c r="S19" s="2179"/>
      <c r="T19" s="2179"/>
      <c r="U19" s="2179"/>
      <c r="V19" s="2179"/>
      <c r="W19" s="2179"/>
      <c r="X19" s="2179"/>
      <c r="Y19" s="2179"/>
      <c r="Z19" s="2179"/>
      <c r="AA19" s="2179"/>
      <c r="AB19" s="2179"/>
      <c r="AC19" s="2179"/>
      <c r="AD19" s="2179"/>
      <c r="AE19" s="2179"/>
      <c r="AF19" s="2179"/>
      <c r="AG19" s="2179"/>
      <c r="AH19" s="2179"/>
      <c r="AI19" s="2179"/>
      <c r="AJ19" s="2179"/>
      <c r="AK19" s="2179"/>
      <c r="AL19" s="2179"/>
      <c r="AM19" s="2179"/>
      <c r="AN19" s="2179"/>
      <c r="AO19" s="2179"/>
      <c r="AP19" s="2179"/>
      <c r="AQ19" s="2179"/>
      <c r="AR19" s="2180"/>
      <c r="AS19" s="110"/>
      <c r="AT19" s="110"/>
      <c r="AU19" s="110"/>
      <c r="AV19" s="110"/>
      <c r="AW19" s="110"/>
      <c r="AX19" s="110"/>
      <c r="AY19" s="110"/>
      <c r="AZ19" s="110"/>
      <c r="BA19" s="110"/>
      <c r="BB19" s="110"/>
      <c r="BC19" s="110"/>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5"/>
      <c r="BZ19" s="285"/>
    </row>
    <row r="20" spans="1:78" ht="5.0999999999999996" customHeight="1">
      <c r="A20" s="2205"/>
      <c r="B20" s="2206"/>
      <c r="C20" s="2206"/>
      <c r="D20" s="2206"/>
      <c r="E20" s="2206"/>
      <c r="F20" s="2206"/>
      <c r="G20" s="2206"/>
      <c r="H20" s="2206"/>
      <c r="I20" s="2206"/>
      <c r="J20" s="2206"/>
      <c r="K20" s="2206"/>
      <c r="L20" s="2206"/>
      <c r="M20" s="2206"/>
      <c r="N20" s="2206"/>
      <c r="O20" s="2206"/>
      <c r="P20" s="2206"/>
      <c r="Q20" s="2206"/>
      <c r="R20" s="2206"/>
      <c r="S20" s="2206"/>
      <c r="T20" s="2206"/>
      <c r="U20" s="2206"/>
      <c r="V20" s="2206"/>
      <c r="W20" s="2206"/>
      <c r="X20" s="2206"/>
      <c r="Y20" s="2206"/>
      <c r="Z20" s="2206"/>
      <c r="AA20" s="2206"/>
      <c r="AB20" s="2206"/>
      <c r="AC20" s="2206"/>
      <c r="AD20" s="2206"/>
      <c r="AE20" s="2206"/>
      <c r="AF20" s="2206"/>
      <c r="AG20" s="2206"/>
      <c r="AH20" s="2206"/>
      <c r="AI20" s="2206"/>
      <c r="AJ20" s="2206"/>
      <c r="AK20" s="2206"/>
      <c r="AL20" s="2206"/>
      <c r="AM20" s="2206"/>
      <c r="AN20" s="2206"/>
      <c r="AO20" s="2206"/>
      <c r="AP20" s="2206"/>
      <c r="AQ20" s="2206"/>
      <c r="AR20" s="2207"/>
    </row>
    <row r="21" spans="1:78" ht="15" customHeight="1">
      <c r="A21" s="2208" t="s">
        <v>206</v>
      </c>
      <c r="B21" s="2209"/>
      <c r="C21" s="2209"/>
      <c r="D21" s="2209"/>
      <c r="E21" s="2209"/>
      <c r="F21" s="2209"/>
      <c r="G21" s="2209"/>
      <c r="H21" s="2209"/>
      <c r="I21" s="2209"/>
      <c r="J21" s="2209"/>
      <c r="K21" s="2209"/>
      <c r="L21" s="2209"/>
      <c r="M21" s="2209"/>
      <c r="N21" s="2209"/>
      <c r="O21" s="2209"/>
      <c r="P21" s="2209"/>
      <c r="Q21" s="2209"/>
      <c r="R21" s="2209"/>
      <c r="S21" s="2209"/>
      <c r="T21" s="2209"/>
      <c r="U21" s="2209"/>
      <c r="V21" s="2209"/>
      <c r="W21" s="2209"/>
      <c r="X21" s="2209"/>
      <c r="Y21" s="2209"/>
      <c r="Z21" s="2209"/>
      <c r="AA21" s="2209"/>
      <c r="AB21" s="2209"/>
      <c r="AC21" s="2210"/>
      <c r="AD21" s="2210"/>
      <c r="AE21" s="2210"/>
      <c r="AF21" s="2210"/>
      <c r="AG21" s="2210"/>
      <c r="AH21" s="2210"/>
      <c r="AI21" s="2210"/>
      <c r="AJ21" s="2210"/>
      <c r="AK21" s="2210"/>
      <c r="AL21" s="2210"/>
      <c r="AM21" s="2210"/>
      <c r="AN21" s="2210"/>
      <c r="AO21" s="2210"/>
      <c r="AP21" s="2210"/>
      <c r="AQ21" s="2210"/>
      <c r="AR21" s="2211"/>
    </row>
    <row r="22" spans="1:78" ht="14.1" customHeight="1">
      <c r="A22" s="615"/>
      <c r="B22" s="2212" t="s">
        <v>3962</v>
      </c>
      <c r="C22" s="2213"/>
      <c r="D22" s="2213"/>
      <c r="E22" s="2213"/>
      <c r="F22" s="2213"/>
      <c r="G22" s="2213"/>
      <c r="H22" s="2213"/>
      <c r="I22" s="2213"/>
      <c r="J22" s="2213"/>
      <c r="K22" s="2213"/>
      <c r="L22" s="2213"/>
      <c r="M22" s="2213"/>
      <c r="N22" s="2213"/>
      <c r="O22" s="2213"/>
      <c r="P22" s="2213"/>
      <c r="Q22" s="2213"/>
      <c r="R22" s="2213"/>
      <c r="S22" s="2213"/>
      <c r="T22" s="2213"/>
      <c r="U22" s="2213"/>
      <c r="V22" s="2213"/>
      <c r="W22" s="2213"/>
      <c r="X22" s="2213"/>
      <c r="Y22" s="2213"/>
      <c r="Z22" s="2213"/>
      <c r="AA22" s="2214"/>
      <c r="AB22" s="2215"/>
      <c r="AC22" s="2216"/>
      <c r="AD22" s="2216"/>
      <c r="AE22" s="2216"/>
      <c r="AF22" s="2216"/>
      <c r="AG22" s="2216"/>
      <c r="AH22" s="2216"/>
      <c r="AI22" s="2216"/>
      <c r="AJ22" s="2216"/>
      <c r="AK22" s="2216"/>
      <c r="AL22" s="2216"/>
      <c r="AM22" s="2216"/>
      <c r="AN22" s="2216"/>
      <c r="AO22" s="2216"/>
      <c r="AP22" s="2216"/>
      <c r="AQ22" s="2216"/>
      <c r="AR22" s="2217"/>
    </row>
    <row r="23" spans="1:78" ht="14.1" customHeight="1">
      <c r="A23" s="612"/>
      <c r="B23" s="578">
        <v>1</v>
      </c>
      <c r="C23" s="578">
        <v>2</v>
      </c>
      <c r="D23" s="578">
        <v>3</v>
      </c>
      <c r="E23" s="578">
        <v>4</v>
      </c>
      <c r="F23" s="578">
        <v>5</v>
      </c>
      <c r="G23" s="578">
        <v>6</v>
      </c>
      <c r="H23" s="578">
        <v>7</v>
      </c>
      <c r="I23" s="578">
        <v>8</v>
      </c>
      <c r="J23" s="578">
        <v>9</v>
      </c>
      <c r="K23" s="578">
        <v>10</v>
      </c>
      <c r="L23" s="578">
        <v>11</v>
      </c>
      <c r="M23" s="578">
        <v>12</v>
      </c>
      <c r="N23" s="2297" t="s">
        <v>227</v>
      </c>
      <c r="O23" s="2298"/>
      <c r="P23" s="2218"/>
      <c r="Q23" s="2219"/>
      <c r="R23" s="2219"/>
      <c r="S23" s="2219"/>
      <c r="T23" s="2219"/>
      <c r="U23" s="2219"/>
      <c r="V23" s="2219"/>
      <c r="W23" s="2219"/>
      <c r="X23" s="2219"/>
      <c r="Y23" s="2219"/>
      <c r="Z23" s="2219"/>
      <c r="AA23" s="2220"/>
      <c r="AB23" s="631"/>
      <c r="AC23" s="619" t="s">
        <v>246</v>
      </c>
      <c r="AD23" s="2175" t="s">
        <v>3959</v>
      </c>
      <c r="AE23" s="2176"/>
      <c r="AF23" s="2176"/>
      <c r="AG23" s="2176"/>
      <c r="AH23" s="2176"/>
      <c r="AI23" s="2176"/>
      <c r="AJ23" s="2176"/>
      <c r="AK23" s="2176"/>
      <c r="AL23" s="2176"/>
      <c r="AM23" s="2176"/>
      <c r="AN23" s="2176"/>
      <c r="AO23" s="2176"/>
      <c r="AP23" s="2176"/>
      <c r="AQ23" s="2176"/>
      <c r="AR23" s="2177"/>
    </row>
    <row r="24" spans="1:78" ht="14.1" customHeight="1">
      <c r="A24" s="612"/>
      <c r="B24" s="616"/>
      <c r="C24" s="616"/>
      <c r="D24" s="616"/>
      <c r="E24" s="616"/>
      <c r="F24" s="616"/>
      <c r="G24" s="616"/>
      <c r="H24" s="616"/>
      <c r="I24" s="616"/>
      <c r="J24" s="616"/>
      <c r="K24" s="616"/>
      <c r="L24" s="616"/>
      <c r="M24" s="616"/>
      <c r="N24" s="618"/>
      <c r="O24" s="619"/>
      <c r="P24" s="2219"/>
      <c r="Q24" s="2219"/>
      <c r="R24" s="2219"/>
      <c r="S24" s="2219"/>
      <c r="T24" s="2219"/>
      <c r="U24" s="2219"/>
      <c r="V24" s="2219"/>
      <c r="W24" s="2219"/>
      <c r="X24" s="2219"/>
      <c r="Y24" s="2219"/>
      <c r="Z24" s="2219"/>
      <c r="AA24" s="2220"/>
      <c r="AB24" s="2221"/>
      <c r="AC24" s="2222"/>
      <c r="AD24" s="2222"/>
      <c r="AE24" s="2222"/>
      <c r="AF24" s="2222"/>
      <c r="AG24" s="2222"/>
      <c r="AH24" s="2222"/>
      <c r="AI24" s="2222"/>
      <c r="AJ24" s="2222"/>
      <c r="AK24" s="2222"/>
      <c r="AL24" s="2222"/>
      <c r="AM24" s="2222"/>
      <c r="AN24" s="2222"/>
      <c r="AO24" s="2222"/>
      <c r="AP24" s="2222"/>
      <c r="AQ24" s="2222"/>
      <c r="AR24" s="2223"/>
    </row>
    <row r="25" spans="1:78" ht="14.1" customHeight="1">
      <c r="A25" s="615"/>
      <c r="B25" s="2295" t="s">
        <v>3963</v>
      </c>
      <c r="C25" s="2119"/>
      <c r="D25" s="2119"/>
      <c r="E25" s="2119"/>
      <c r="F25" s="2119"/>
      <c r="G25" s="2119"/>
      <c r="H25" s="2119"/>
      <c r="I25" s="2119"/>
      <c r="J25" s="2119"/>
      <c r="K25" s="2119"/>
      <c r="L25" s="2119"/>
      <c r="M25" s="2119"/>
      <c r="N25" s="2119"/>
      <c r="O25" s="2213"/>
      <c r="P25" s="2119"/>
      <c r="Q25" s="2119"/>
      <c r="R25" s="2119"/>
      <c r="S25" s="2119"/>
      <c r="T25" s="2119"/>
      <c r="U25" s="2119"/>
      <c r="V25" s="2119"/>
      <c r="W25" s="2119"/>
      <c r="X25" s="2119"/>
      <c r="Y25" s="2119"/>
      <c r="Z25" s="2119"/>
      <c r="AA25" s="2296"/>
      <c r="AB25" s="631"/>
      <c r="AC25" s="619"/>
      <c r="AD25" s="2175" t="s">
        <v>3960</v>
      </c>
      <c r="AE25" s="2176"/>
      <c r="AF25" s="2176"/>
      <c r="AG25" s="2176"/>
      <c r="AH25" s="2176"/>
      <c r="AI25" s="2176"/>
      <c r="AJ25" s="2176"/>
      <c r="AK25" s="2176"/>
      <c r="AL25" s="2176"/>
      <c r="AM25" s="2176"/>
      <c r="AN25" s="2176"/>
      <c r="AO25" s="2176"/>
      <c r="AP25" s="2176"/>
      <c r="AQ25" s="2176"/>
      <c r="AR25" s="2177"/>
    </row>
    <row r="26" spans="1:78" ht="14.1" customHeight="1">
      <c r="A26" s="612"/>
      <c r="B26" s="578">
        <v>1</v>
      </c>
      <c r="C26" s="578">
        <v>2</v>
      </c>
      <c r="D26" s="578">
        <v>3</v>
      </c>
      <c r="E26" s="578">
        <v>4</v>
      </c>
      <c r="F26" s="578">
        <v>5</v>
      </c>
      <c r="G26" s="578">
        <v>6</v>
      </c>
      <c r="H26" s="578">
        <v>7</v>
      </c>
      <c r="I26" s="578">
        <v>8</v>
      </c>
      <c r="J26" s="578">
        <v>9</v>
      </c>
      <c r="K26" s="578">
        <v>10</v>
      </c>
      <c r="L26" s="578">
        <v>11</v>
      </c>
      <c r="M26" s="578">
        <v>12</v>
      </c>
      <c r="N26" s="2297" t="s">
        <v>227</v>
      </c>
      <c r="O26" s="2298"/>
      <c r="P26" s="2232"/>
      <c r="Q26" s="2232"/>
      <c r="R26" s="2232"/>
      <c r="S26" s="2232"/>
      <c r="T26" s="2312" t="s">
        <v>207</v>
      </c>
      <c r="U26" s="2222"/>
      <c r="V26" s="2222"/>
      <c r="W26" s="2222"/>
      <c r="X26" s="2312" t="s">
        <v>208</v>
      </c>
      <c r="Y26" s="2222"/>
      <c r="Z26" s="2222"/>
      <c r="AA26" s="2313"/>
      <c r="AB26" s="2221"/>
      <c r="AC26" s="2222"/>
      <c r="AD26" s="2222"/>
      <c r="AE26" s="2222"/>
      <c r="AF26" s="2222"/>
      <c r="AG26" s="2222"/>
      <c r="AH26" s="2222"/>
      <c r="AI26" s="2222"/>
      <c r="AJ26" s="2222"/>
      <c r="AK26" s="2222"/>
      <c r="AL26" s="2222"/>
      <c r="AM26" s="2222"/>
      <c r="AN26" s="2222"/>
      <c r="AO26" s="2222"/>
      <c r="AP26" s="2222"/>
      <c r="AQ26" s="2222"/>
      <c r="AR26" s="2223"/>
    </row>
    <row r="27" spans="1:78" ht="14.1" customHeight="1">
      <c r="A27" s="612"/>
      <c r="B27" s="616"/>
      <c r="C27" s="616"/>
      <c r="D27" s="616"/>
      <c r="E27" s="616"/>
      <c r="F27" s="616"/>
      <c r="G27" s="616"/>
      <c r="H27" s="616"/>
      <c r="I27" s="616"/>
      <c r="J27" s="616"/>
      <c r="K27" s="616"/>
      <c r="L27" s="616"/>
      <c r="M27" s="616"/>
      <c r="N27" s="618"/>
      <c r="O27" s="619"/>
      <c r="P27" s="2316" t="s">
        <v>3509</v>
      </c>
      <c r="Q27" s="2317"/>
      <c r="R27" s="2317"/>
      <c r="S27" s="2317"/>
      <c r="T27" s="619"/>
      <c r="U27" s="2314"/>
      <c r="V27" s="2314"/>
      <c r="W27" s="2314"/>
      <c r="X27" s="619"/>
      <c r="Y27" s="2315"/>
      <c r="Z27" s="2219"/>
      <c r="AA27" s="2220"/>
      <c r="AB27" s="631"/>
      <c r="AC27" s="619"/>
      <c r="AD27" s="2175" t="s">
        <v>3961</v>
      </c>
      <c r="AE27" s="2176"/>
      <c r="AF27" s="2176"/>
      <c r="AG27" s="2176"/>
      <c r="AH27" s="2176"/>
      <c r="AI27" s="2176"/>
      <c r="AJ27" s="2176"/>
      <c r="AK27" s="2176"/>
      <c r="AL27" s="2176"/>
      <c r="AM27" s="2176"/>
      <c r="AN27" s="2176"/>
      <c r="AO27" s="2176"/>
      <c r="AP27" s="2176"/>
      <c r="AQ27" s="2176"/>
      <c r="AR27" s="2177"/>
    </row>
    <row r="28" spans="1:78" ht="14.1" customHeight="1">
      <c r="A28" s="615"/>
      <c r="B28" s="2295" t="s">
        <v>3964</v>
      </c>
      <c r="C28" s="2119"/>
      <c r="D28" s="2119"/>
      <c r="E28" s="2119"/>
      <c r="F28" s="2119"/>
      <c r="G28" s="2119"/>
      <c r="H28" s="2119"/>
      <c r="I28" s="2119"/>
      <c r="J28" s="2119"/>
      <c r="K28" s="2119"/>
      <c r="L28" s="2119"/>
      <c r="M28" s="2119"/>
      <c r="N28" s="2119"/>
      <c r="O28" s="2119"/>
      <c r="P28" s="2119"/>
      <c r="Q28" s="2119"/>
      <c r="R28" s="2119"/>
      <c r="S28" s="2119"/>
      <c r="T28" s="2119"/>
      <c r="U28" s="2119"/>
      <c r="V28" s="2119"/>
      <c r="W28" s="2119"/>
      <c r="X28" s="2119"/>
      <c r="Y28" s="2119"/>
      <c r="Z28" s="2119"/>
      <c r="AA28" s="2296"/>
      <c r="AB28" s="2221"/>
      <c r="AC28" s="2222"/>
      <c r="AD28" s="2222"/>
      <c r="AE28" s="2222"/>
      <c r="AF28" s="2222"/>
      <c r="AG28" s="2222"/>
      <c r="AH28" s="2222"/>
      <c r="AI28" s="2222"/>
      <c r="AJ28" s="2222"/>
      <c r="AK28" s="2222"/>
      <c r="AL28" s="2222"/>
      <c r="AM28" s="2222"/>
      <c r="AN28" s="2222"/>
      <c r="AO28" s="2222"/>
      <c r="AP28" s="2222"/>
      <c r="AQ28" s="2222"/>
      <c r="AR28" s="2223"/>
    </row>
    <row r="29" spans="1:78" ht="14.1" customHeight="1">
      <c r="A29" s="612"/>
      <c r="B29" s="578">
        <v>1</v>
      </c>
      <c r="C29" s="578">
        <v>2</v>
      </c>
      <c r="D29" s="578">
        <v>3</v>
      </c>
      <c r="E29" s="578">
        <v>4</v>
      </c>
      <c r="F29" s="578">
        <v>5</v>
      </c>
      <c r="G29" s="578">
        <v>6</v>
      </c>
      <c r="H29" s="578">
        <v>7</v>
      </c>
      <c r="I29" s="578">
        <v>8</v>
      </c>
      <c r="J29" s="578">
        <v>9</v>
      </c>
      <c r="K29" s="578">
        <v>10</v>
      </c>
      <c r="L29" s="578">
        <v>11</v>
      </c>
      <c r="M29" s="578">
        <v>12</v>
      </c>
      <c r="N29" s="2297" t="s">
        <v>227</v>
      </c>
      <c r="O29" s="2298"/>
      <c r="P29" s="2232"/>
      <c r="Q29" s="2232"/>
      <c r="R29" s="2232"/>
      <c r="S29" s="2232"/>
      <c r="T29" s="581" t="s">
        <v>222</v>
      </c>
      <c r="U29" s="581" t="s">
        <v>223</v>
      </c>
      <c r="V29" s="581" t="s">
        <v>209</v>
      </c>
      <c r="W29" s="581" t="s">
        <v>210</v>
      </c>
      <c r="X29" s="581" t="s">
        <v>211</v>
      </c>
      <c r="Y29" s="581" t="s">
        <v>212</v>
      </c>
      <c r="Z29" s="611"/>
      <c r="AA29" s="620"/>
      <c r="AB29" s="631"/>
      <c r="AC29" s="619"/>
      <c r="AD29" s="2175" t="s">
        <v>3846</v>
      </c>
      <c r="AE29" s="2176"/>
      <c r="AF29" s="2176"/>
      <c r="AG29" s="2176"/>
      <c r="AH29" s="2176"/>
      <c r="AI29" s="2176"/>
      <c r="AJ29" s="2176"/>
      <c r="AK29" s="2176"/>
      <c r="AL29" s="2176"/>
      <c r="AM29" s="2176"/>
      <c r="AN29" s="2176"/>
      <c r="AO29" s="2176"/>
      <c r="AP29" s="2176"/>
      <c r="AQ29" s="2176"/>
      <c r="AR29" s="2177"/>
    </row>
    <row r="30" spans="1:78" ht="14.1" customHeight="1">
      <c r="A30" s="612"/>
      <c r="B30" s="616"/>
      <c r="C30" s="616"/>
      <c r="D30" s="616"/>
      <c r="E30" s="616"/>
      <c r="F30" s="616"/>
      <c r="G30" s="616"/>
      <c r="H30" s="616"/>
      <c r="I30" s="616"/>
      <c r="J30" s="616"/>
      <c r="K30" s="616"/>
      <c r="L30" s="616"/>
      <c r="M30" s="616"/>
      <c r="N30" s="618"/>
      <c r="O30" s="619"/>
      <c r="P30" s="2316" t="s">
        <v>3509</v>
      </c>
      <c r="Q30" s="2317"/>
      <c r="R30" s="2317"/>
      <c r="S30" s="2317"/>
      <c r="T30" s="616"/>
      <c r="U30" s="616"/>
      <c r="V30" s="616"/>
      <c r="W30" s="616"/>
      <c r="X30" s="616"/>
      <c r="Y30" s="616"/>
      <c r="Z30" s="423"/>
      <c r="AA30" s="617"/>
      <c r="AB30" s="2221"/>
      <c r="AC30" s="2222"/>
      <c r="AD30" s="2222"/>
      <c r="AE30" s="2222"/>
      <c r="AF30" s="2222"/>
      <c r="AG30" s="2222"/>
      <c r="AH30" s="2222"/>
      <c r="AI30" s="2222"/>
      <c r="AJ30" s="2222"/>
      <c r="AK30" s="2222"/>
      <c r="AL30" s="2222"/>
      <c r="AM30" s="2222"/>
      <c r="AN30" s="2222"/>
      <c r="AO30" s="2222"/>
      <c r="AP30" s="2222"/>
      <c r="AQ30" s="2222"/>
      <c r="AR30" s="2223"/>
      <c r="AY30" s="21">
        <f>+IF(EXACT(O30,"X"),12,0)</f>
        <v>0</v>
      </c>
      <c r="AZ30" s="21">
        <f>+IF(EXACT(B30,"X"),1,0)</f>
        <v>0</v>
      </c>
      <c r="BA30" s="21">
        <f t="shared" ref="BA30:BK30" si="0">+IF(EXACT(C30,"X"),1,0)</f>
        <v>0</v>
      </c>
      <c r="BB30" s="21">
        <f t="shared" si="0"/>
        <v>0</v>
      </c>
      <c r="BC30" s="21">
        <f t="shared" si="0"/>
        <v>0</v>
      </c>
      <c r="BD30" s="21">
        <f t="shared" si="0"/>
        <v>0</v>
      </c>
      <c r="BE30" s="21">
        <f t="shared" si="0"/>
        <v>0</v>
      </c>
      <c r="BF30" s="21">
        <f t="shared" si="0"/>
        <v>0</v>
      </c>
      <c r="BG30" s="21">
        <f t="shared" si="0"/>
        <v>0</v>
      </c>
      <c r="BH30" s="21">
        <f t="shared" si="0"/>
        <v>0</v>
      </c>
      <c r="BI30" s="21">
        <f t="shared" si="0"/>
        <v>0</v>
      </c>
      <c r="BJ30" s="21">
        <f t="shared" si="0"/>
        <v>0</v>
      </c>
      <c r="BK30" s="21">
        <f t="shared" si="0"/>
        <v>0</v>
      </c>
      <c r="BL30" s="21">
        <f>+IF(AY30=12,12,+SUM(AZ30:BK30))</f>
        <v>0</v>
      </c>
    </row>
    <row r="31" spans="1:78" ht="14.1" customHeight="1">
      <c r="A31" s="580"/>
      <c r="B31" s="2319" t="s">
        <v>3763</v>
      </c>
      <c r="C31" s="1902"/>
      <c r="D31" s="1902"/>
      <c r="E31" s="1902"/>
      <c r="F31" s="1902"/>
      <c r="G31" s="1902"/>
      <c r="H31" s="2029" t="s">
        <v>3920</v>
      </c>
      <c r="I31" s="2029"/>
      <c r="J31" s="2029"/>
      <c r="K31" s="2029"/>
      <c r="L31" s="2029"/>
      <c r="M31" s="2029"/>
      <c r="N31" s="2029"/>
      <c r="O31" s="2029"/>
      <c r="P31" s="2029"/>
      <c r="Q31" s="2029"/>
      <c r="R31" s="2029"/>
      <c r="S31" s="2029"/>
      <c r="T31" s="2029"/>
      <c r="U31" s="2029"/>
      <c r="V31" s="2029"/>
      <c r="W31" s="2029"/>
      <c r="X31" s="2029"/>
      <c r="Y31" s="2029"/>
      <c r="Z31" s="2029"/>
      <c r="AA31" s="610"/>
      <c r="AB31" s="631"/>
      <c r="AC31" s="619"/>
      <c r="AD31" s="2175" t="s">
        <v>3926</v>
      </c>
      <c r="AE31" s="2176"/>
      <c r="AF31" s="2176"/>
      <c r="AG31" s="2176"/>
      <c r="AH31" s="2176"/>
      <c r="AI31" s="2176"/>
      <c r="AJ31" s="2176"/>
      <c r="AK31" s="2176"/>
      <c r="AL31" s="2176"/>
      <c r="AM31" s="2176"/>
      <c r="AN31" s="2176"/>
      <c r="AO31" s="2176"/>
      <c r="AP31" s="2176"/>
      <c r="AQ31" s="2176"/>
      <c r="AR31" s="2177"/>
    </row>
    <row r="32" spans="1:78" ht="18" customHeight="1">
      <c r="A32" s="580"/>
      <c r="B32" s="1902"/>
      <c r="C32" s="1902"/>
      <c r="D32" s="1902"/>
      <c r="E32" s="1902"/>
      <c r="F32" s="1902"/>
      <c r="G32" s="1902"/>
      <c r="H32" s="2299"/>
      <c r="I32" s="2300"/>
      <c r="J32" s="2300"/>
      <c r="K32" s="2300"/>
      <c r="L32" s="2300"/>
      <c r="M32" s="2300"/>
      <c r="N32" s="2300"/>
      <c r="O32" s="2300"/>
      <c r="P32" s="2301"/>
      <c r="Q32" s="582"/>
      <c r="R32" s="2299"/>
      <c r="S32" s="2300"/>
      <c r="T32" s="2300"/>
      <c r="U32" s="2300"/>
      <c r="V32" s="2300"/>
      <c r="W32" s="2300"/>
      <c r="X32" s="2300"/>
      <c r="Y32" s="2300"/>
      <c r="Z32" s="2301"/>
      <c r="AA32" s="417"/>
      <c r="AB32" s="2320"/>
      <c r="AC32" s="2119"/>
      <c r="AD32" s="2119"/>
      <c r="AE32" s="2119"/>
      <c r="AF32" s="2119"/>
      <c r="AG32" s="2119"/>
      <c r="AH32" s="2119"/>
      <c r="AI32" s="2119"/>
      <c r="AJ32" s="655"/>
      <c r="AK32" s="655"/>
      <c r="AL32" s="655"/>
      <c r="AM32" s="655"/>
      <c r="AN32" s="655"/>
      <c r="AO32" s="655"/>
      <c r="AP32" s="655"/>
      <c r="AQ32" s="655"/>
      <c r="AR32" s="1068"/>
    </row>
    <row r="33" spans="1:55" ht="5.25" customHeight="1">
      <c r="A33" s="2318"/>
      <c r="B33" s="1312"/>
      <c r="C33" s="1312"/>
      <c r="D33" s="1312"/>
      <c r="E33" s="1312"/>
      <c r="F33" s="1312"/>
      <c r="G33" s="1312"/>
      <c r="H33" s="1312"/>
      <c r="I33" s="1312"/>
      <c r="J33" s="1312"/>
      <c r="K33" s="1312"/>
      <c r="L33" s="1312"/>
      <c r="M33" s="1312"/>
      <c r="N33" s="1312"/>
      <c r="O33" s="1312"/>
      <c r="P33" s="1312"/>
      <c r="Q33" s="1312"/>
      <c r="R33" s="1312"/>
      <c r="S33" s="1312"/>
      <c r="T33" s="1312"/>
      <c r="U33" s="1312"/>
      <c r="V33" s="1312"/>
      <c r="W33" s="1312"/>
      <c r="X33" s="1312"/>
      <c r="Y33" s="1312"/>
      <c r="Z33" s="1312"/>
      <c r="AA33" s="1312"/>
      <c r="AB33" s="2321"/>
      <c r="AC33" s="1312"/>
      <c r="AD33" s="1312"/>
      <c r="AE33" s="1312"/>
      <c r="AF33" s="1312"/>
      <c r="AG33" s="1312"/>
      <c r="AH33" s="1312"/>
      <c r="AI33" s="1312"/>
      <c r="AJ33" s="1312"/>
      <c r="AK33" s="1312"/>
      <c r="AL33" s="1312"/>
      <c r="AM33" s="1312"/>
      <c r="AN33" s="1312"/>
      <c r="AO33" s="1312"/>
      <c r="AP33" s="1312"/>
      <c r="AQ33" s="1312"/>
      <c r="AR33" s="2163"/>
    </row>
    <row r="34" spans="1:55" ht="18" customHeight="1">
      <c r="A34" s="2224" t="s">
        <v>331</v>
      </c>
      <c r="B34" s="2225"/>
      <c r="C34" s="2225"/>
      <c r="D34" s="2225"/>
      <c r="E34" s="2225"/>
      <c r="F34" s="2225"/>
      <c r="G34" s="2225"/>
      <c r="H34" s="2225"/>
      <c r="I34" s="2225"/>
      <c r="J34" s="2225"/>
      <c r="K34" s="2225"/>
      <c r="L34" s="2225"/>
      <c r="M34" s="2225"/>
      <c r="N34" s="2225"/>
      <c r="O34" s="2225"/>
      <c r="P34" s="2225"/>
      <c r="Q34" s="2225"/>
      <c r="R34" s="2225"/>
      <c r="S34" s="2225"/>
      <c r="T34" s="2225"/>
      <c r="U34" s="2225"/>
      <c r="V34" s="2225"/>
      <c r="W34" s="2226" t="s">
        <v>3510</v>
      </c>
      <c r="X34" s="2226"/>
      <c r="Y34" s="2226"/>
      <c r="Z34" s="2226"/>
      <c r="AA34" s="2226"/>
      <c r="AB34" s="2226"/>
      <c r="AC34" s="2226"/>
      <c r="AD34" s="2226"/>
      <c r="AE34" s="2226"/>
      <c r="AF34" s="2226"/>
      <c r="AG34" s="2226"/>
      <c r="AH34" s="2226"/>
      <c r="AI34" s="2226"/>
      <c r="AJ34" s="2226"/>
      <c r="AK34" s="2226"/>
      <c r="AL34" s="2226"/>
      <c r="AM34" s="2225"/>
      <c r="AN34" s="2225"/>
      <c r="AO34" s="2225"/>
      <c r="AP34" s="2225"/>
      <c r="AQ34" s="2225"/>
      <c r="AR34" s="2227"/>
    </row>
    <row r="35" spans="1:55" ht="18" customHeight="1">
      <c r="A35" s="580"/>
      <c r="B35" s="2230"/>
      <c r="C35" s="2230"/>
      <c r="D35" s="2230"/>
      <c r="E35" s="2230"/>
      <c r="F35" s="2230"/>
      <c r="G35" s="2230"/>
      <c r="H35" s="2230"/>
      <c r="I35" s="2231" t="s">
        <v>3848</v>
      </c>
      <c r="J35" s="2231"/>
      <c r="K35" s="2231"/>
      <c r="L35" s="2231"/>
      <c r="M35" s="2231"/>
      <c r="N35" s="2231"/>
      <c r="O35" s="2231"/>
      <c r="P35" s="2231"/>
      <c r="Q35" s="2231"/>
      <c r="R35" s="2231"/>
      <c r="S35" s="2231"/>
      <c r="T35" s="2232"/>
      <c r="U35" s="2222"/>
      <c r="V35" s="2222"/>
      <c r="W35" s="2228" t="s">
        <v>3965</v>
      </c>
      <c r="X35" s="2228"/>
      <c r="Y35" s="2228"/>
      <c r="Z35" s="2228"/>
      <c r="AA35" s="2228"/>
      <c r="AB35" s="2228"/>
      <c r="AC35" s="2228"/>
      <c r="AD35" s="2228"/>
      <c r="AE35" s="2228"/>
      <c r="AF35" s="2228"/>
      <c r="AG35" s="2228"/>
      <c r="AH35" s="2228"/>
      <c r="AI35" s="2228"/>
      <c r="AJ35" s="2228"/>
      <c r="AK35" s="2228"/>
      <c r="AL35" s="2228"/>
      <c r="AM35" s="2228"/>
      <c r="AN35" s="2228"/>
      <c r="AO35" s="2228"/>
      <c r="AP35" s="2228"/>
      <c r="AQ35" s="2228"/>
      <c r="AR35" s="2229"/>
    </row>
    <row r="36" spans="1:55" ht="18" customHeight="1">
      <c r="A36" s="583"/>
      <c r="B36" s="2114" t="s">
        <v>3847</v>
      </c>
      <c r="C36" s="2115"/>
      <c r="D36" s="2115"/>
      <c r="E36" s="2115"/>
      <c r="F36" s="2115"/>
      <c r="G36" s="2115"/>
      <c r="H36" s="2115"/>
      <c r="I36" s="2233">
        <f>+IF(AND('1Př1'!F11=0,'1Př1'!F12=0),+'1Př1'!F14+'1Př1'!F15-'1Př1'!F17+'1Př1'!F19+'1Př1'!F22-('1Př1'!F12+'1Př1'!F16-'1Př1'!F18+'1Př1'!F20),+'1Př1'!F11+'1Př1'!F15-'1Př1'!F17+'1Př1'!F19+'1Př1'!F22-('1Př1'!F12+'1Př1'!F16-'1Př1'!F18+'1Př1'!F20))</f>
        <v>0</v>
      </c>
      <c r="J36" s="2234"/>
      <c r="K36" s="2234"/>
      <c r="L36" s="2234"/>
      <c r="M36" s="2234"/>
      <c r="N36" s="2234"/>
      <c r="O36" s="2234"/>
      <c r="P36" s="2234"/>
      <c r="Q36" s="2234"/>
      <c r="R36" s="2234"/>
      <c r="S36" s="2235"/>
      <c r="T36" s="2108" t="s">
        <v>193</v>
      </c>
      <c r="U36" s="2119"/>
      <c r="V36" s="2119"/>
      <c r="W36" s="584"/>
      <c r="X36" s="2114" t="s">
        <v>337</v>
      </c>
      <c r="Y36" s="2119"/>
      <c r="Z36" s="2119"/>
      <c r="AA36" s="2119"/>
      <c r="AB36" s="2119"/>
      <c r="AC36" s="2119"/>
      <c r="AD36" s="2119"/>
      <c r="AE36" s="2236">
        <v>0</v>
      </c>
      <c r="AF36" s="2237"/>
      <c r="AG36" s="2237"/>
      <c r="AH36" s="2237"/>
      <c r="AI36" s="2237"/>
      <c r="AJ36" s="2237"/>
      <c r="AK36" s="2237"/>
      <c r="AL36" s="2237"/>
      <c r="AM36" s="2237"/>
      <c r="AN36" s="2238"/>
      <c r="AO36" s="2108" t="s">
        <v>193</v>
      </c>
      <c r="AP36" s="2119"/>
      <c r="AQ36" s="2119"/>
      <c r="AR36" s="2239"/>
    </row>
    <row r="37" spans="1:55" ht="18" customHeight="1">
      <c r="A37" s="583"/>
      <c r="B37" s="2246" t="s">
        <v>3966</v>
      </c>
      <c r="C37" s="2247"/>
      <c r="D37" s="2247"/>
      <c r="E37" s="2247"/>
      <c r="F37" s="2247"/>
      <c r="G37" s="2247"/>
      <c r="H37" s="2247"/>
      <c r="I37" s="2247"/>
      <c r="J37" s="2247"/>
      <c r="K37" s="2247"/>
      <c r="L37" s="2247"/>
      <c r="M37" s="2247"/>
      <c r="N37" s="2247"/>
      <c r="O37" s="2247"/>
      <c r="P37" s="2247"/>
      <c r="Q37" s="2247"/>
      <c r="R37" s="2247"/>
      <c r="S37" s="2247"/>
      <c r="T37" s="2247"/>
      <c r="U37" s="2247"/>
      <c r="V37" s="2247"/>
      <c r="W37" s="2248" t="s">
        <v>3853</v>
      </c>
      <c r="X37" s="2228"/>
      <c r="Y37" s="2228"/>
      <c r="Z37" s="2228"/>
      <c r="AA37" s="2228"/>
      <c r="AB37" s="2228"/>
      <c r="AC37" s="2228"/>
      <c r="AD37" s="2228"/>
      <c r="AE37" s="2228"/>
      <c r="AF37" s="2228"/>
      <c r="AG37" s="2228"/>
      <c r="AH37" s="2228"/>
      <c r="AI37" s="2228"/>
      <c r="AJ37" s="2228"/>
      <c r="AK37" s="2228"/>
      <c r="AL37" s="2228"/>
      <c r="AM37" s="2228"/>
      <c r="AN37" s="2228"/>
      <c r="AO37" s="2228"/>
      <c r="AP37" s="2228"/>
      <c r="AQ37" s="2228"/>
      <c r="AR37" s="2249"/>
    </row>
    <row r="38" spans="1:55" ht="18" customHeight="1">
      <c r="A38" s="583"/>
      <c r="B38" s="2114" t="s">
        <v>332</v>
      </c>
      <c r="C38" s="2115"/>
      <c r="D38" s="2115"/>
      <c r="E38" s="2115"/>
      <c r="F38" s="2115"/>
      <c r="G38" s="2115"/>
      <c r="H38" s="2115"/>
      <c r="I38" s="2115"/>
      <c r="J38" s="2115"/>
      <c r="K38" s="2115"/>
      <c r="L38" s="2115"/>
      <c r="M38" s="2115"/>
      <c r="N38" s="2254">
        <f>+'1Př2'!G3</f>
        <v>12</v>
      </c>
      <c r="O38" s="2255"/>
      <c r="P38" s="2243"/>
      <c r="Q38" s="1584"/>
      <c r="R38" s="1584"/>
      <c r="S38" s="1584"/>
      <c r="T38" s="1584"/>
      <c r="U38" s="1584"/>
      <c r="V38" s="1584"/>
      <c r="W38" s="584"/>
      <c r="X38" s="2114" t="s">
        <v>178</v>
      </c>
      <c r="Y38" s="2115"/>
      <c r="Z38" s="2115"/>
      <c r="AA38" s="2115"/>
      <c r="AB38" s="2115"/>
      <c r="AC38" s="2115"/>
      <c r="AD38" s="2115"/>
      <c r="AE38" s="2251">
        <f>+AE36-I49</f>
        <v>-35614</v>
      </c>
      <c r="AF38" s="2252"/>
      <c r="AG38" s="2252"/>
      <c r="AH38" s="2252"/>
      <c r="AI38" s="2252"/>
      <c r="AJ38" s="2252"/>
      <c r="AK38" s="2252"/>
      <c r="AL38" s="2252"/>
      <c r="AM38" s="2252"/>
      <c r="AN38" s="2253"/>
      <c r="AO38" s="2108" t="s">
        <v>193</v>
      </c>
      <c r="AP38" s="2119"/>
      <c r="AQ38" s="2119"/>
      <c r="AR38" s="2239"/>
    </row>
    <row r="39" spans="1:55" ht="18" customHeight="1">
      <c r="A39" s="583"/>
      <c r="B39" s="2246" t="s">
        <v>3875</v>
      </c>
      <c r="C39" s="2247"/>
      <c r="D39" s="2247"/>
      <c r="E39" s="2247"/>
      <c r="F39" s="2247"/>
      <c r="G39" s="2247"/>
      <c r="H39" s="2247"/>
      <c r="I39" s="2247"/>
      <c r="J39" s="2247"/>
      <c r="K39" s="2247"/>
      <c r="L39" s="2247"/>
      <c r="M39" s="2247"/>
      <c r="N39" s="2247"/>
      <c r="O39" s="2247"/>
      <c r="P39" s="2247"/>
      <c r="Q39" s="2247"/>
      <c r="R39" s="2247"/>
      <c r="S39" s="2247"/>
      <c r="T39" s="2247"/>
      <c r="U39" s="2247"/>
      <c r="V39" s="2247"/>
      <c r="W39" s="2250"/>
      <c r="X39" s="2119"/>
      <c r="Y39" s="2119"/>
      <c r="Z39" s="2119"/>
      <c r="AA39" s="2119"/>
      <c r="AB39" s="2119"/>
      <c r="AC39" s="2119"/>
      <c r="AD39" s="2119"/>
      <c r="AE39" s="2119"/>
      <c r="AF39" s="2119"/>
      <c r="AG39" s="2119"/>
      <c r="AH39" s="2119"/>
      <c r="AI39" s="2119"/>
      <c r="AJ39" s="2119"/>
      <c r="AK39" s="2119"/>
      <c r="AL39" s="2119"/>
      <c r="AM39" s="2119"/>
      <c r="AN39" s="2119"/>
      <c r="AO39" s="2119"/>
      <c r="AP39" s="2119"/>
      <c r="AQ39" s="2119"/>
      <c r="AR39" s="2239"/>
    </row>
    <row r="40" spans="1:55" ht="18" customHeight="1">
      <c r="A40" s="585" t="s">
        <v>3764</v>
      </c>
      <c r="B40" s="2114" t="s">
        <v>3849</v>
      </c>
      <c r="C40" s="2115"/>
      <c r="D40" s="2115"/>
      <c r="E40" s="2115"/>
      <c r="F40" s="2115"/>
      <c r="G40" s="2115"/>
      <c r="H40" s="2115"/>
      <c r="I40" s="2115"/>
      <c r="J40" s="2115"/>
      <c r="K40" s="2115"/>
      <c r="L40" s="2115"/>
      <c r="M40" s="2115"/>
      <c r="N40" s="2254">
        <f>+N38</f>
        <v>12</v>
      </c>
      <c r="O40" s="2255"/>
      <c r="P40" s="2243"/>
      <c r="Q40" s="1584"/>
      <c r="R40" s="1584"/>
      <c r="S40" s="1584"/>
      <c r="T40" s="1584"/>
      <c r="U40" s="1584"/>
      <c r="V40" s="1584"/>
      <c r="W40" s="584"/>
      <c r="X40" s="2108" t="s">
        <v>338</v>
      </c>
      <c r="Y40" s="2108"/>
      <c r="Z40" s="2108"/>
      <c r="AA40" s="2108"/>
      <c r="AB40" s="2108"/>
      <c r="AC40" s="2108"/>
      <c r="AD40" s="2108"/>
      <c r="AE40" s="2108"/>
      <c r="AF40" s="2108"/>
      <c r="AG40" s="2108"/>
      <c r="AH40" s="2108"/>
      <c r="AI40" s="2108"/>
      <c r="AJ40" s="2108"/>
      <c r="AK40" s="2108"/>
      <c r="AL40" s="2108"/>
      <c r="AM40" s="2108"/>
      <c r="AN40" s="2108"/>
      <c r="AO40" s="2108"/>
      <c r="AP40" s="2108"/>
      <c r="AQ40" s="2108"/>
      <c r="AR40" s="2310"/>
    </row>
    <row r="41" spans="1:55" ht="18" customHeight="1">
      <c r="A41" s="583"/>
      <c r="B41" s="2228" t="s">
        <v>333</v>
      </c>
      <c r="C41" s="2311"/>
      <c r="D41" s="2311"/>
      <c r="E41" s="2311"/>
      <c r="F41" s="2311"/>
      <c r="G41" s="2311"/>
      <c r="H41" s="2311"/>
      <c r="I41" s="2311"/>
      <c r="J41" s="2311"/>
      <c r="K41" s="2311"/>
      <c r="L41" s="2311"/>
      <c r="M41" s="2311"/>
      <c r="N41" s="2311"/>
      <c r="O41" s="2311"/>
      <c r="P41" s="2311"/>
      <c r="Q41" s="2311"/>
      <c r="R41" s="2311"/>
      <c r="S41" s="2311"/>
      <c r="T41" s="2311"/>
      <c r="U41" s="2311"/>
      <c r="V41" s="2311"/>
      <c r="W41" s="586"/>
      <c r="X41" s="579" t="str">
        <f>+IF(AE38&lt;0,"X"," ")</f>
        <v>X</v>
      </c>
      <c r="Y41" s="2120" t="s">
        <v>3856</v>
      </c>
      <c r="Z41" s="2120"/>
      <c r="AA41" s="2120"/>
      <c r="AB41" s="2120"/>
      <c r="AC41" s="2120"/>
      <c r="AD41" s="2120"/>
      <c r="AE41" s="2120"/>
      <c r="AF41" s="2120"/>
      <c r="AG41" s="2120"/>
      <c r="AH41" s="2120"/>
      <c r="AI41" s="2120"/>
      <c r="AJ41" s="2120"/>
      <c r="AK41" s="2120"/>
      <c r="AL41" s="2120"/>
      <c r="AM41" s="2120"/>
      <c r="AN41" s="2120"/>
      <c r="AO41" s="2120"/>
      <c r="AP41" s="2120"/>
      <c r="AQ41" s="2120"/>
      <c r="AR41" s="2240"/>
      <c r="AT41" s="20"/>
      <c r="AU41" s="20"/>
      <c r="AV41" s="20"/>
      <c r="AW41" s="20"/>
      <c r="AX41" s="20"/>
      <c r="AY41" s="20"/>
      <c r="AZ41" s="20"/>
      <c r="BA41" s="20"/>
      <c r="BB41" s="20"/>
      <c r="BC41" s="20"/>
    </row>
    <row r="42" spans="1:55" ht="18" customHeight="1">
      <c r="A42" s="583"/>
      <c r="B42" s="2114" t="s">
        <v>334</v>
      </c>
      <c r="C42" s="2115"/>
      <c r="D42" s="2115"/>
      <c r="E42" s="2115"/>
      <c r="F42" s="2115"/>
      <c r="G42" s="2115"/>
      <c r="H42" s="2115"/>
      <c r="I42" s="2115"/>
      <c r="J42" s="2115"/>
      <c r="K42" s="2115"/>
      <c r="L42" s="2115"/>
      <c r="M42" s="2115"/>
      <c r="N42" s="2241">
        <f>12-BL30</f>
        <v>12</v>
      </c>
      <c r="O42" s="2242"/>
      <c r="P42" s="2243"/>
      <c r="Q42" s="1584"/>
      <c r="R42" s="1584"/>
      <c r="S42" s="1584"/>
      <c r="T42" s="1584"/>
      <c r="U42" s="1584"/>
      <c r="V42" s="1584"/>
      <c r="W42" s="586"/>
      <c r="X42" s="579" t="str">
        <f>+IF(AE38&gt;0,"X"," ")</f>
        <v xml:space="preserve"> </v>
      </c>
      <c r="Y42" s="2120" t="s">
        <v>3596</v>
      </c>
      <c r="Z42" s="2119"/>
      <c r="AA42" s="2119"/>
      <c r="AB42" s="2119"/>
      <c r="AC42" s="2119"/>
      <c r="AD42" s="2119"/>
      <c r="AE42" s="2119"/>
      <c r="AF42" s="2119"/>
      <c r="AG42" s="2119"/>
      <c r="AH42" s="2236">
        <f>+MAX(0,AE38)</f>
        <v>0</v>
      </c>
      <c r="AI42" s="2244"/>
      <c r="AJ42" s="2244"/>
      <c r="AK42" s="2244"/>
      <c r="AL42" s="2244"/>
      <c r="AM42" s="2244"/>
      <c r="AN42" s="2244"/>
      <c r="AO42" s="2245"/>
      <c r="AP42" s="2108" t="s">
        <v>193</v>
      </c>
      <c r="AQ42" s="2119"/>
      <c r="AR42" s="2239"/>
      <c r="AT42" s="20"/>
      <c r="AU42" s="20"/>
      <c r="AV42" s="20"/>
      <c r="AW42" s="20"/>
      <c r="AX42" s="20"/>
      <c r="AY42" s="20"/>
      <c r="AZ42" s="20"/>
      <c r="BA42" s="20"/>
      <c r="BB42" s="20"/>
      <c r="BC42" s="20"/>
    </row>
    <row r="43" spans="1:55" ht="18" customHeight="1">
      <c r="A43" s="583"/>
      <c r="B43" s="2108"/>
      <c r="C43" s="2108"/>
      <c r="D43" s="2108"/>
      <c r="E43" s="2108"/>
      <c r="F43" s="2108"/>
      <c r="G43" s="2108"/>
      <c r="H43" s="2108"/>
      <c r="I43" s="2294" t="s">
        <v>3971</v>
      </c>
      <c r="J43" s="2294"/>
      <c r="K43" s="2294"/>
      <c r="L43" s="2294"/>
      <c r="M43" s="2294"/>
      <c r="N43" s="2294"/>
      <c r="O43" s="2294"/>
      <c r="P43" s="2294"/>
      <c r="Q43" s="2294"/>
      <c r="R43" s="2294"/>
      <c r="S43" s="2294"/>
      <c r="T43" s="2109"/>
      <c r="U43" s="2119"/>
      <c r="V43" s="2119"/>
      <c r="W43" s="2250"/>
      <c r="X43" s="2119"/>
      <c r="Y43" s="2309" t="s">
        <v>3850</v>
      </c>
      <c r="Z43" s="2119"/>
      <c r="AA43" s="2119"/>
      <c r="AB43" s="2119"/>
      <c r="AC43" s="2119"/>
      <c r="AD43" s="579" t="str">
        <f>+X42</f>
        <v xml:space="preserve"> </v>
      </c>
      <c r="AE43" s="2309" t="s">
        <v>3851</v>
      </c>
      <c r="AF43" s="2119"/>
      <c r="AG43" s="2119"/>
      <c r="AH43" s="2119"/>
      <c r="AI43" s="2119"/>
      <c r="AJ43" s="2119"/>
      <c r="AK43" s="2119"/>
      <c r="AL43" s="2119"/>
      <c r="AM43" s="2119"/>
      <c r="AN43" s="2119"/>
      <c r="AO43" s="2119"/>
      <c r="AP43" s="2119"/>
      <c r="AQ43" s="2119"/>
      <c r="AR43" s="2239"/>
      <c r="AT43" s="20"/>
      <c r="AU43" s="20"/>
      <c r="AV43" s="20"/>
      <c r="AW43" s="20"/>
      <c r="AX43" s="20"/>
      <c r="AY43" s="20"/>
      <c r="AZ43" s="20"/>
      <c r="BA43" s="20"/>
      <c r="BB43" s="20"/>
      <c r="BC43" s="20"/>
    </row>
    <row r="44" spans="1:55" ht="18" customHeight="1">
      <c r="A44" s="583"/>
      <c r="B44" s="2114" t="s">
        <v>335</v>
      </c>
      <c r="C44" s="2119"/>
      <c r="D44" s="2119"/>
      <c r="E44" s="2119"/>
      <c r="F44" s="2119"/>
      <c r="G44" s="2119"/>
      <c r="H44" s="2119"/>
      <c r="I44" s="2306">
        <f>+N42*21983.5</f>
        <v>263802</v>
      </c>
      <c r="J44" s="2307"/>
      <c r="K44" s="2307"/>
      <c r="L44" s="2307"/>
      <c r="M44" s="2307"/>
      <c r="N44" s="2307"/>
      <c r="O44" s="2307"/>
      <c r="P44" s="2307"/>
      <c r="Q44" s="2307"/>
      <c r="R44" s="2307"/>
      <c r="S44" s="2308"/>
      <c r="T44" s="2108" t="s">
        <v>193</v>
      </c>
      <c r="U44" s="2119"/>
      <c r="V44" s="2119"/>
      <c r="W44" s="2250"/>
      <c r="X44" s="2119"/>
      <c r="Y44" s="2119"/>
      <c r="Z44" s="2119"/>
      <c r="AA44" s="2119"/>
      <c r="AB44" s="2119"/>
      <c r="AC44" s="2119"/>
      <c r="AD44" s="579"/>
      <c r="AE44" s="2309" t="s">
        <v>3852</v>
      </c>
      <c r="AF44" s="2119"/>
      <c r="AG44" s="2119"/>
      <c r="AH44" s="2119"/>
      <c r="AI44" s="2119"/>
      <c r="AJ44" s="2119"/>
      <c r="AK44" s="2119"/>
      <c r="AL44" s="2119"/>
      <c r="AM44" s="2119"/>
      <c r="AN44" s="2119"/>
      <c r="AO44" s="2119"/>
      <c r="AP44" s="2119"/>
      <c r="AQ44" s="2119"/>
      <c r="AR44" s="2239"/>
      <c r="AT44" s="20"/>
      <c r="AU44" s="20"/>
      <c r="AV44" s="20"/>
      <c r="AW44" s="20"/>
      <c r="AX44" s="20"/>
      <c r="AY44" s="20"/>
      <c r="AZ44" s="20"/>
      <c r="BA44" s="20"/>
      <c r="BB44" s="20"/>
      <c r="BC44" s="20"/>
    </row>
    <row r="45" spans="1:55" ht="18" customHeight="1">
      <c r="A45" s="2288" t="s">
        <v>3967</v>
      </c>
      <c r="B45" s="2119"/>
      <c r="C45" s="2119"/>
      <c r="D45" s="2119"/>
      <c r="E45" s="2119"/>
      <c r="F45" s="2119"/>
      <c r="G45" s="2119"/>
      <c r="H45" s="2119"/>
      <c r="I45" s="2119"/>
      <c r="J45" s="2119"/>
      <c r="K45" s="2119"/>
      <c r="L45" s="2119"/>
      <c r="M45" s="2119"/>
      <c r="N45" s="2119"/>
      <c r="O45" s="2119"/>
      <c r="P45" s="2119"/>
      <c r="Q45" s="2119"/>
      <c r="R45" s="2119"/>
      <c r="S45" s="2119"/>
      <c r="T45" s="2119"/>
      <c r="U45" s="2119"/>
      <c r="V45" s="2119"/>
      <c r="W45" s="2283" t="s">
        <v>3511</v>
      </c>
      <c r="X45" s="2284"/>
      <c r="Y45" s="2284"/>
      <c r="Z45" s="2284"/>
      <c r="AA45" s="2284"/>
      <c r="AB45" s="2284"/>
      <c r="AC45" s="2284"/>
      <c r="AD45" s="2285"/>
      <c r="AE45" s="2284"/>
      <c r="AF45" s="2284"/>
      <c r="AG45" s="2284"/>
      <c r="AH45" s="2284"/>
      <c r="AI45" s="2284"/>
      <c r="AJ45" s="2284"/>
      <c r="AK45" s="2284"/>
      <c r="AL45" s="2284"/>
      <c r="AM45" s="2286"/>
      <c r="AN45" s="2286"/>
      <c r="AO45" s="2286"/>
      <c r="AP45" s="2286"/>
      <c r="AQ45" s="2286"/>
      <c r="AR45" s="2287"/>
      <c r="AT45" s="20"/>
      <c r="AU45" s="20"/>
      <c r="AV45" s="20"/>
      <c r="AW45" s="20"/>
      <c r="AX45" s="20"/>
      <c r="AY45" s="20"/>
      <c r="AZ45" s="20"/>
      <c r="BA45" s="20"/>
      <c r="BB45" s="20"/>
      <c r="BC45" s="20"/>
    </row>
    <row r="46" spans="1:55" ht="18" customHeight="1">
      <c r="A46" s="583"/>
      <c r="B46" s="2114" t="s">
        <v>115</v>
      </c>
      <c r="C46" s="2115"/>
      <c r="D46" s="2115"/>
      <c r="E46" s="2115"/>
      <c r="F46" s="2115"/>
      <c r="G46" s="2115"/>
      <c r="H46" s="2115"/>
      <c r="I46" s="2116">
        <f>+MAX(I44,+I36*0.5)</f>
        <v>263802</v>
      </c>
      <c r="J46" s="2117"/>
      <c r="K46" s="2117"/>
      <c r="L46" s="2117"/>
      <c r="M46" s="2117"/>
      <c r="N46" s="2117"/>
      <c r="O46" s="2117"/>
      <c r="P46" s="2117"/>
      <c r="Q46" s="2117"/>
      <c r="R46" s="2117"/>
      <c r="S46" s="2118"/>
      <c r="T46" s="2108" t="s">
        <v>193</v>
      </c>
      <c r="U46" s="2119"/>
      <c r="V46" s="2119"/>
      <c r="W46" s="2289" t="s">
        <v>3855</v>
      </c>
      <c r="X46" s="2246"/>
      <c r="Y46" s="2246"/>
      <c r="Z46" s="2246"/>
      <c r="AA46" s="2246"/>
      <c r="AB46" s="2246"/>
      <c r="AC46" s="2246"/>
      <c r="AD46" s="2246"/>
      <c r="AE46" s="2246"/>
      <c r="AF46" s="2246"/>
      <c r="AG46" s="2246"/>
      <c r="AH46" s="2246"/>
      <c r="AI46" s="2246"/>
      <c r="AJ46" s="2246"/>
      <c r="AK46" s="2246"/>
      <c r="AL46" s="2246"/>
      <c r="AM46" s="2246"/>
      <c r="AN46" s="2246"/>
      <c r="AO46" s="2246"/>
      <c r="AP46" s="2246"/>
      <c r="AQ46" s="2246"/>
      <c r="AR46" s="2290"/>
      <c r="AT46" s="20"/>
      <c r="AU46" s="20"/>
      <c r="AV46" s="20"/>
      <c r="AW46" s="20"/>
      <c r="AX46" s="20"/>
      <c r="AY46" s="20"/>
      <c r="AZ46" s="20"/>
      <c r="BA46" s="20"/>
      <c r="BB46" s="20"/>
      <c r="BC46" s="20"/>
    </row>
    <row r="47" spans="1:55" ht="18" customHeight="1">
      <c r="A47" s="2291"/>
      <c r="B47" s="1584"/>
      <c r="C47" s="1584"/>
      <c r="D47" s="1584"/>
      <c r="E47" s="1584"/>
      <c r="F47" s="1584"/>
      <c r="G47" s="1584"/>
      <c r="H47" s="1584"/>
      <c r="I47" s="1584"/>
      <c r="J47" s="1584"/>
      <c r="K47" s="1584"/>
      <c r="L47" s="1584"/>
      <c r="M47" s="1584"/>
      <c r="N47" s="1584"/>
      <c r="O47" s="1584"/>
      <c r="P47" s="1584"/>
      <c r="Q47" s="1584"/>
      <c r="R47" s="1584"/>
      <c r="S47" s="1584"/>
      <c r="T47" s="1584"/>
      <c r="U47" s="1584"/>
      <c r="V47" s="1584"/>
      <c r="W47" s="584"/>
      <c r="X47" s="2114" t="s">
        <v>339</v>
      </c>
      <c r="Y47" s="2292"/>
      <c r="Z47" s="2292"/>
      <c r="AA47" s="2292"/>
      <c r="AB47" s="2292"/>
      <c r="AC47" s="2292"/>
      <c r="AD47" s="2293"/>
      <c r="AE47" s="2292"/>
      <c r="AF47" s="2292"/>
      <c r="AG47" s="2251">
        <f>+CEILING(0.135*0.5*MAX(0,I36)/N38,1)</f>
        <v>0</v>
      </c>
      <c r="AH47" s="2252"/>
      <c r="AI47" s="2252"/>
      <c r="AJ47" s="2252"/>
      <c r="AK47" s="2252"/>
      <c r="AL47" s="2252"/>
      <c r="AM47" s="2252"/>
      <c r="AN47" s="2253"/>
      <c r="AO47" s="2108" t="s">
        <v>193</v>
      </c>
      <c r="AP47" s="2109"/>
      <c r="AQ47" s="2109"/>
      <c r="AR47" s="2110"/>
      <c r="AT47" s="20"/>
      <c r="AU47" s="20"/>
      <c r="AV47" s="20"/>
      <c r="AW47" s="20"/>
      <c r="AX47" s="20"/>
      <c r="AY47" s="20"/>
      <c r="AZ47" s="20"/>
      <c r="BA47" s="20"/>
      <c r="BB47" s="20"/>
      <c r="BC47" s="20"/>
    </row>
    <row r="48" spans="1:55" ht="18" customHeight="1">
      <c r="A48" s="587"/>
      <c r="B48" s="2111" t="s">
        <v>3968</v>
      </c>
      <c r="C48" s="2112"/>
      <c r="D48" s="2112"/>
      <c r="E48" s="2112"/>
      <c r="F48" s="2112"/>
      <c r="G48" s="2112"/>
      <c r="H48" s="2112"/>
      <c r="I48" s="2112"/>
      <c r="J48" s="2112"/>
      <c r="K48" s="2112"/>
      <c r="L48" s="2112"/>
      <c r="M48" s="2112"/>
      <c r="N48" s="2112"/>
      <c r="O48" s="2112"/>
      <c r="P48" s="2112"/>
      <c r="Q48" s="2112"/>
      <c r="R48" s="2112"/>
      <c r="S48" s="2112"/>
      <c r="T48" s="2112"/>
      <c r="U48" s="2112"/>
      <c r="V48" s="2113"/>
      <c r="W48" s="588" t="s">
        <v>3767</v>
      </c>
      <c r="X48" s="589"/>
      <c r="Y48" s="589"/>
      <c r="Z48" s="589"/>
      <c r="AA48" s="589"/>
      <c r="AB48" s="589"/>
      <c r="AC48" s="589"/>
      <c r="AD48" s="589"/>
      <c r="AE48" s="589"/>
      <c r="AF48" s="589"/>
      <c r="AG48" s="589"/>
      <c r="AH48" s="589"/>
      <c r="AI48" s="589"/>
      <c r="AJ48" s="589"/>
      <c r="AK48" s="589"/>
      <c r="AL48" s="589"/>
      <c r="AM48" s="589"/>
      <c r="AN48" s="589"/>
      <c r="AO48" s="589"/>
      <c r="AP48" s="589"/>
      <c r="AQ48" s="589"/>
      <c r="AR48" s="590"/>
      <c r="AT48" s="20"/>
      <c r="AU48" s="20"/>
      <c r="AV48" s="20"/>
      <c r="AW48" s="20"/>
      <c r="AX48" s="20"/>
      <c r="AY48" s="20"/>
      <c r="AZ48" s="20"/>
      <c r="BA48" s="20"/>
      <c r="BB48" s="20"/>
      <c r="BC48" s="20"/>
    </row>
    <row r="49" spans="1:55" ht="18" customHeight="1">
      <c r="A49" s="577"/>
      <c r="B49" s="2114" t="s">
        <v>336</v>
      </c>
      <c r="C49" s="2115"/>
      <c r="D49" s="2115"/>
      <c r="E49" s="2115"/>
      <c r="F49" s="2115"/>
      <c r="G49" s="2115"/>
      <c r="H49" s="2115"/>
      <c r="I49" s="2116">
        <f>+CEILING(0.135*(I46*N40)/N38,1)</f>
        <v>35614</v>
      </c>
      <c r="J49" s="2117"/>
      <c r="K49" s="2117"/>
      <c r="L49" s="2117"/>
      <c r="M49" s="2117"/>
      <c r="N49" s="2117"/>
      <c r="O49" s="2117"/>
      <c r="P49" s="2117"/>
      <c r="Q49" s="2117"/>
      <c r="R49" s="2117"/>
      <c r="S49" s="2118"/>
      <c r="T49" s="2108" t="s">
        <v>193</v>
      </c>
      <c r="U49" s="2119"/>
      <c r="V49" s="2119"/>
      <c r="W49" s="586"/>
      <c r="X49" s="579"/>
      <c r="Y49" s="2120" t="s">
        <v>3975</v>
      </c>
      <c r="Z49" s="2109"/>
      <c r="AA49" s="2109"/>
      <c r="AB49" s="579" t="s">
        <v>246</v>
      </c>
      <c r="AC49" s="2120" t="s">
        <v>3512</v>
      </c>
      <c r="AD49" s="2109"/>
      <c r="AE49" s="2109"/>
      <c r="AF49" s="579"/>
      <c r="AG49" s="2120" t="s">
        <v>340</v>
      </c>
      <c r="AH49" s="2109"/>
      <c r="AI49" s="2109"/>
      <c r="AJ49" s="2121">
        <f>+IF(OR(EXACT(X49,"X"),EXACT(X49,"x")),MAX(AG47,3164),IF(OR(EXACT(AF49,"X"),EXACT(AF49,"x")),0,+AG47))</f>
        <v>0</v>
      </c>
      <c r="AK49" s="2122"/>
      <c r="AL49" s="2122"/>
      <c r="AM49" s="2122"/>
      <c r="AN49" s="2123"/>
      <c r="AO49" s="2108" t="s">
        <v>193</v>
      </c>
      <c r="AP49" s="2109"/>
      <c r="AQ49" s="2109"/>
      <c r="AR49" s="2110"/>
      <c r="AT49" s="20"/>
      <c r="AU49" s="20"/>
      <c r="AV49" s="20"/>
      <c r="AW49" s="20"/>
      <c r="AX49" s="20"/>
      <c r="AY49" s="20"/>
      <c r="AZ49" s="20"/>
      <c r="BA49" s="20"/>
      <c r="BB49" s="20"/>
      <c r="BC49" s="20"/>
    </row>
    <row r="50" spans="1:55" ht="6" customHeight="1">
      <c r="A50" s="2302"/>
      <c r="B50" s="2222"/>
      <c r="C50" s="2222"/>
      <c r="D50" s="2222"/>
      <c r="E50" s="2222"/>
      <c r="F50" s="2222"/>
      <c r="G50" s="2222"/>
      <c r="H50" s="2222"/>
      <c r="I50" s="2222"/>
      <c r="J50" s="2222"/>
      <c r="K50" s="2222"/>
      <c r="L50" s="2222"/>
      <c r="M50" s="2222"/>
      <c r="N50" s="2222"/>
      <c r="O50" s="2222"/>
      <c r="P50" s="2222"/>
      <c r="Q50" s="2222"/>
      <c r="R50" s="2222"/>
      <c r="S50" s="2222"/>
      <c r="T50" s="2222"/>
      <c r="U50" s="2222"/>
      <c r="V50" s="2222"/>
      <c r="W50" s="2303"/>
      <c r="X50" s="2304"/>
      <c r="Y50" s="2304"/>
      <c r="Z50" s="2304"/>
      <c r="AA50" s="2304"/>
      <c r="AB50" s="2304"/>
      <c r="AC50" s="2304"/>
      <c r="AD50" s="2304"/>
      <c r="AE50" s="2304"/>
      <c r="AF50" s="2304"/>
      <c r="AG50" s="2304"/>
      <c r="AH50" s="2304"/>
      <c r="AI50" s="2304"/>
      <c r="AJ50" s="2304"/>
      <c r="AK50" s="2304"/>
      <c r="AL50" s="2304"/>
      <c r="AM50" s="2304"/>
      <c r="AN50" s="2304"/>
      <c r="AO50" s="2304"/>
      <c r="AP50" s="2304"/>
      <c r="AQ50" s="2304"/>
      <c r="AR50" s="2305"/>
      <c r="AT50" s="20"/>
      <c r="AU50" s="20"/>
      <c r="AV50" s="20"/>
      <c r="AW50" s="20"/>
      <c r="AX50" s="20"/>
      <c r="AY50" s="20"/>
      <c r="AZ50" s="20"/>
      <c r="BA50" s="20"/>
      <c r="BB50" s="20"/>
      <c r="BC50" s="20"/>
    </row>
    <row r="51" spans="1:55" ht="18" customHeight="1">
      <c r="A51" s="2125" t="s">
        <v>3513</v>
      </c>
      <c r="B51" s="2268"/>
      <c r="C51" s="2268"/>
      <c r="D51" s="2268"/>
      <c r="E51" s="2268"/>
      <c r="F51" s="2268"/>
      <c r="G51" s="2268"/>
      <c r="H51" s="2268"/>
      <c r="I51" s="2268"/>
      <c r="J51" s="2268"/>
      <c r="K51" s="2268"/>
      <c r="L51" s="2268"/>
      <c r="M51" s="2268"/>
      <c r="N51" s="2268"/>
      <c r="O51" s="2268"/>
      <c r="P51" s="2268"/>
      <c r="Q51" s="2268"/>
      <c r="R51" s="2268"/>
      <c r="S51" s="2268"/>
      <c r="T51" s="2268"/>
      <c r="U51" s="2268"/>
      <c r="V51" s="2268"/>
      <c r="W51" s="2268"/>
      <c r="X51" s="2268"/>
      <c r="Y51" s="2268"/>
      <c r="Z51" s="2268"/>
      <c r="AA51" s="2268"/>
      <c r="AB51" s="2268"/>
      <c r="AC51" s="2268"/>
      <c r="AD51" s="2268"/>
      <c r="AE51" s="2268"/>
      <c r="AF51" s="2268"/>
      <c r="AG51" s="2268"/>
      <c r="AH51" s="2268"/>
      <c r="AI51" s="2268"/>
      <c r="AJ51" s="2268"/>
      <c r="AK51" s="2268"/>
      <c r="AL51" s="2268"/>
      <c r="AM51" s="2268"/>
      <c r="AN51" s="2268"/>
      <c r="AO51" s="2268"/>
      <c r="AP51" s="2268"/>
      <c r="AQ51" s="2268"/>
      <c r="AR51" s="2269"/>
    </row>
    <row r="52" spans="1:55" ht="18" customHeight="1">
      <c r="A52" s="2270" t="s">
        <v>3766</v>
      </c>
      <c r="B52" s="655"/>
      <c r="C52" s="655"/>
      <c r="D52" s="655"/>
      <c r="E52" s="655"/>
      <c r="F52" s="655"/>
      <c r="G52" s="655"/>
      <c r="H52" s="655"/>
      <c r="I52" s="655"/>
      <c r="J52" s="655"/>
      <c r="K52" s="655"/>
      <c r="L52" s="655"/>
      <c r="M52" s="655"/>
      <c r="N52" s="655"/>
      <c r="O52" s="655"/>
      <c r="P52" s="655"/>
      <c r="Q52" s="655"/>
      <c r="R52" s="655"/>
      <c r="S52" s="655"/>
      <c r="T52" s="655"/>
      <c r="U52" s="655"/>
      <c r="V52" s="655"/>
      <c r="W52" s="655"/>
      <c r="X52" s="655"/>
      <c r="Y52" s="655"/>
      <c r="Z52" s="655"/>
      <c r="AA52" s="75"/>
      <c r="AB52" s="75"/>
      <c r="AC52" s="75"/>
      <c r="AD52" s="75"/>
      <c r="AE52" s="75"/>
      <c r="AF52" s="75"/>
      <c r="AG52" s="75"/>
      <c r="AH52" s="75"/>
      <c r="AI52" s="75"/>
      <c r="AJ52" s="75"/>
      <c r="AK52" s="75"/>
      <c r="AL52" s="75"/>
      <c r="AM52" s="75"/>
      <c r="AN52" s="75"/>
      <c r="AO52" s="75"/>
      <c r="AP52" s="75"/>
      <c r="AQ52" s="75"/>
      <c r="AR52" s="506"/>
    </row>
    <row r="53" spans="1:55" ht="18" customHeight="1">
      <c r="A53" s="2271"/>
      <c r="B53" s="655"/>
      <c r="C53" s="655"/>
      <c r="D53" s="655"/>
      <c r="E53" s="655"/>
      <c r="F53" s="655"/>
      <c r="G53" s="655"/>
      <c r="H53" s="655"/>
      <c r="I53" s="655"/>
      <c r="J53" s="655"/>
      <c r="K53" s="655"/>
      <c r="L53" s="655"/>
      <c r="M53" s="655"/>
      <c r="N53" s="655"/>
      <c r="O53" s="655"/>
      <c r="P53" s="655"/>
      <c r="Q53" s="655"/>
      <c r="R53" s="655"/>
      <c r="S53" s="655"/>
      <c r="T53" s="655"/>
      <c r="U53" s="655"/>
      <c r="V53" s="655"/>
      <c r="W53" s="655"/>
      <c r="X53" s="655"/>
      <c r="Y53" s="655"/>
      <c r="Z53" s="655"/>
      <c r="AA53" s="75"/>
      <c r="AB53" s="2272" t="s">
        <v>341</v>
      </c>
      <c r="AC53" s="2273"/>
      <c r="AD53" s="2273"/>
      <c r="AE53" s="2273"/>
      <c r="AF53" s="2273"/>
      <c r="AG53" s="2273"/>
      <c r="AH53" s="2273"/>
      <c r="AI53" s="2273"/>
      <c r="AJ53" s="2273"/>
      <c r="AK53" s="2273"/>
      <c r="AL53" s="2273"/>
      <c r="AM53" s="2273"/>
      <c r="AN53" s="2274"/>
      <c r="AO53" s="2262"/>
      <c r="AP53" s="1021"/>
      <c r="AQ53" s="1021"/>
      <c r="AR53" s="2263"/>
    </row>
    <row r="54" spans="1:55" ht="18" customHeight="1">
      <c r="A54" s="2271"/>
      <c r="B54" s="655"/>
      <c r="C54" s="655"/>
      <c r="D54" s="655"/>
      <c r="E54" s="655"/>
      <c r="F54" s="655"/>
      <c r="G54" s="655"/>
      <c r="H54" s="655"/>
      <c r="I54" s="655"/>
      <c r="J54" s="655"/>
      <c r="K54" s="655"/>
      <c r="L54" s="655"/>
      <c r="M54" s="655"/>
      <c r="N54" s="655"/>
      <c r="O54" s="655"/>
      <c r="P54" s="655"/>
      <c r="Q54" s="655"/>
      <c r="R54" s="655"/>
      <c r="S54" s="655"/>
      <c r="T54" s="655"/>
      <c r="U54" s="655"/>
      <c r="V54" s="655"/>
      <c r="W54" s="655"/>
      <c r="X54" s="655"/>
      <c r="Y54" s="655"/>
      <c r="Z54" s="655"/>
      <c r="AA54" s="75"/>
      <c r="AB54" s="2275"/>
      <c r="AC54" s="2276"/>
      <c r="AD54" s="2276"/>
      <c r="AE54" s="2276"/>
      <c r="AF54" s="2276"/>
      <c r="AG54" s="2276"/>
      <c r="AH54" s="2276"/>
      <c r="AI54" s="2276"/>
      <c r="AJ54" s="2276"/>
      <c r="AK54" s="2276"/>
      <c r="AL54" s="2276"/>
      <c r="AM54" s="2276"/>
      <c r="AN54" s="2277"/>
      <c r="AO54" s="2262"/>
      <c r="AP54" s="1021"/>
      <c r="AQ54" s="1021"/>
      <c r="AR54" s="2263"/>
    </row>
    <row r="55" spans="1:55" ht="6" customHeight="1">
      <c r="A55" s="2271"/>
      <c r="B55" s="655"/>
      <c r="C55" s="655"/>
      <c r="D55" s="655"/>
      <c r="E55" s="655"/>
      <c r="F55" s="655"/>
      <c r="G55" s="655"/>
      <c r="H55" s="655"/>
      <c r="I55" s="655"/>
      <c r="J55" s="655"/>
      <c r="K55" s="655"/>
      <c r="L55" s="655"/>
      <c r="M55" s="655"/>
      <c r="N55" s="655"/>
      <c r="O55" s="655"/>
      <c r="P55" s="655"/>
      <c r="Q55" s="655"/>
      <c r="R55" s="655"/>
      <c r="S55" s="655"/>
      <c r="T55" s="655"/>
      <c r="U55" s="655"/>
      <c r="V55" s="655"/>
      <c r="W55" s="655"/>
      <c r="X55" s="655"/>
      <c r="Y55" s="655"/>
      <c r="Z55" s="655"/>
      <c r="AA55" s="75"/>
      <c r="AB55" s="2275"/>
      <c r="AC55" s="2276"/>
      <c r="AD55" s="2276"/>
      <c r="AE55" s="2276"/>
      <c r="AF55" s="2276"/>
      <c r="AG55" s="2276"/>
      <c r="AH55" s="2276"/>
      <c r="AI55" s="2276"/>
      <c r="AJ55" s="2276"/>
      <c r="AK55" s="2276"/>
      <c r="AL55" s="2276"/>
      <c r="AM55" s="2276"/>
      <c r="AN55" s="2277"/>
      <c r="AO55" s="2262"/>
      <c r="AP55" s="1021"/>
      <c r="AQ55" s="1021"/>
      <c r="AR55" s="2263"/>
    </row>
    <row r="56" spans="1:55">
      <c r="A56" s="260"/>
      <c r="B56" s="2281" t="s">
        <v>3974</v>
      </c>
      <c r="C56" s="2282"/>
      <c r="D56" s="2282"/>
      <c r="E56" s="2282"/>
      <c r="F56" s="2282"/>
      <c r="G56" s="2282"/>
      <c r="H56" s="2282"/>
      <c r="I56" s="2282"/>
      <c r="J56" s="2282"/>
      <c r="K56" s="2282"/>
      <c r="L56" s="2282"/>
      <c r="M56" s="2282"/>
      <c r="N56" s="2282"/>
      <c r="O56" s="2282"/>
      <c r="P56" s="2282"/>
      <c r="Q56" s="277" t="s">
        <v>342</v>
      </c>
      <c r="R56" s="277"/>
      <c r="S56" s="277"/>
      <c r="T56" s="277"/>
      <c r="U56" s="277"/>
      <c r="V56" s="277"/>
      <c r="W56" s="277"/>
      <c r="X56" s="277"/>
      <c r="Y56" s="277"/>
      <c r="Z56" s="277"/>
      <c r="AA56" s="278"/>
      <c r="AB56" s="2275"/>
      <c r="AC56" s="2276"/>
      <c r="AD56" s="2276"/>
      <c r="AE56" s="2276"/>
      <c r="AF56" s="2276"/>
      <c r="AG56" s="2276"/>
      <c r="AH56" s="2276"/>
      <c r="AI56" s="2276"/>
      <c r="AJ56" s="2276"/>
      <c r="AK56" s="2276"/>
      <c r="AL56" s="2276"/>
      <c r="AM56" s="2276"/>
      <c r="AN56" s="2277"/>
      <c r="AO56" s="2262"/>
      <c r="AP56" s="1021"/>
      <c r="AQ56" s="1021"/>
      <c r="AR56" s="2263"/>
    </row>
    <row r="57" spans="1:55" ht="15" customHeight="1">
      <c r="A57" s="260"/>
      <c r="B57" s="261"/>
      <c r="C57" s="1021"/>
      <c r="D57" s="1021"/>
      <c r="E57" s="1021"/>
      <c r="F57" s="1021"/>
      <c r="G57" s="1021"/>
      <c r="H57" s="1021"/>
      <c r="I57" s="1021"/>
      <c r="J57" s="1021"/>
      <c r="K57" s="1021"/>
      <c r="L57" s="1021"/>
      <c r="M57" s="1021"/>
      <c r="N57" s="1021"/>
      <c r="O57" s="1021"/>
      <c r="P57" s="1021"/>
      <c r="Q57" s="2256">
        <f ca="1">+TODAY()</f>
        <v>45664</v>
      </c>
      <c r="R57" s="2257"/>
      <c r="S57" s="2257"/>
      <c r="T57" s="2257"/>
      <c r="U57" s="2257"/>
      <c r="V57" s="2257"/>
      <c r="W57" s="2257"/>
      <c r="X57" s="2257"/>
      <c r="Y57" s="2258"/>
      <c r="Z57" s="75"/>
      <c r="AA57" s="75"/>
      <c r="AB57" s="2275"/>
      <c r="AC57" s="2276"/>
      <c r="AD57" s="2276"/>
      <c r="AE57" s="2276"/>
      <c r="AF57" s="2276"/>
      <c r="AG57" s="2276"/>
      <c r="AH57" s="2276"/>
      <c r="AI57" s="2276"/>
      <c r="AJ57" s="2276"/>
      <c r="AK57" s="2276"/>
      <c r="AL57" s="2276"/>
      <c r="AM57" s="2276"/>
      <c r="AN57" s="2277"/>
      <c r="AO57" s="2262"/>
      <c r="AP57" s="1021"/>
      <c r="AQ57" s="261"/>
      <c r="AR57" s="2263"/>
    </row>
    <row r="58" spans="1:55">
      <c r="A58" s="282"/>
      <c r="B58" s="75"/>
      <c r="C58" s="75"/>
      <c r="D58" s="75"/>
      <c r="E58" s="75"/>
      <c r="F58" s="75"/>
      <c r="G58" s="75"/>
      <c r="H58" s="75"/>
      <c r="I58" s="75"/>
      <c r="J58" s="75"/>
      <c r="K58" s="75"/>
      <c r="L58" s="75"/>
      <c r="M58" s="75"/>
      <c r="N58" s="75"/>
      <c r="O58" s="75"/>
      <c r="P58" s="75"/>
      <c r="Q58" s="2259"/>
      <c r="R58" s="2260"/>
      <c r="S58" s="2260"/>
      <c r="T58" s="2260"/>
      <c r="U58" s="2260"/>
      <c r="V58" s="2260"/>
      <c r="W58" s="2260"/>
      <c r="X58" s="2260"/>
      <c r="Y58" s="2261"/>
      <c r="Z58" s="75"/>
      <c r="AA58" s="75"/>
      <c r="AB58" s="2278"/>
      <c r="AC58" s="2279"/>
      <c r="AD58" s="2279"/>
      <c r="AE58" s="2279"/>
      <c r="AF58" s="2279"/>
      <c r="AG58" s="2279"/>
      <c r="AH58" s="2279"/>
      <c r="AI58" s="2279"/>
      <c r="AJ58" s="2279"/>
      <c r="AK58" s="2279"/>
      <c r="AL58" s="2279"/>
      <c r="AM58" s="2279"/>
      <c r="AN58" s="2280"/>
      <c r="AO58" s="2262"/>
      <c r="AP58" s="1021"/>
      <c r="AQ58" s="75"/>
      <c r="AR58" s="2263"/>
    </row>
    <row r="59" spans="1:55" ht="8.1" customHeight="1">
      <c r="A59" s="2264"/>
      <c r="B59" s="2260"/>
      <c r="C59" s="2260"/>
      <c r="D59" s="2260"/>
      <c r="E59" s="2260"/>
      <c r="F59" s="2260"/>
      <c r="G59" s="2260"/>
      <c r="H59" s="2260"/>
      <c r="I59" s="2260"/>
      <c r="J59" s="2260"/>
      <c r="K59" s="2260"/>
      <c r="L59" s="2260"/>
      <c r="M59" s="2260"/>
      <c r="N59" s="2260"/>
      <c r="O59" s="2260"/>
      <c r="P59" s="2260"/>
      <c r="Q59" s="2260"/>
      <c r="R59" s="2260"/>
      <c r="S59" s="2260"/>
      <c r="T59" s="2260"/>
      <c r="U59" s="2260"/>
      <c r="V59" s="2260"/>
      <c r="W59" s="2260"/>
      <c r="X59" s="2260"/>
      <c r="Y59" s="2260"/>
      <c r="Z59" s="2260"/>
      <c r="AA59" s="2260"/>
      <c r="AB59" s="2260"/>
      <c r="AC59" s="2260"/>
      <c r="AD59" s="2260"/>
      <c r="AE59" s="2260"/>
      <c r="AF59" s="2260"/>
      <c r="AG59" s="2260"/>
      <c r="AH59" s="2260"/>
      <c r="AI59" s="2260"/>
      <c r="AJ59" s="2260"/>
      <c r="AK59" s="2260"/>
      <c r="AL59" s="2260"/>
      <c r="AM59" s="2260"/>
      <c r="AN59" s="2260"/>
      <c r="AO59" s="2260"/>
      <c r="AP59" s="2260"/>
      <c r="AQ59" s="2260"/>
      <c r="AR59" s="2261"/>
    </row>
    <row r="60" spans="1:55">
      <c r="A60" s="2265" t="str">
        <f>+'SP1'!A71</f>
        <v>Formulář zpracovala ASPEKT HM, daňová, účetní a auditorská kancelář, www.danovapriznani.cz, business.center.cz</v>
      </c>
      <c r="B60" s="2266"/>
      <c r="C60" s="2266"/>
      <c r="D60" s="2266"/>
      <c r="E60" s="2266"/>
      <c r="F60" s="2266"/>
      <c r="G60" s="2266"/>
      <c r="H60" s="2266"/>
      <c r="I60" s="2266"/>
      <c r="J60" s="2266"/>
      <c r="K60" s="2266"/>
      <c r="L60" s="2266"/>
      <c r="M60" s="2266"/>
      <c r="N60" s="2266"/>
      <c r="O60" s="2266"/>
      <c r="P60" s="2266"/>
      <c r="Q60" s="2266"/>
      <c r="R60" s="2266"/>
      <c r="S60" s="2266"/>
      <c r="T60" s="2266"/>
      <c r="U60" s="2266"/>
      <c r="V60" s="2266"/>
      <c r="W60" s="2266"/>
      <c r="X60" s="2266"/>
      <c r="Y60" s="2266"/>
      <c r="Z60" s="2266"/>
      <c r="AA60" s="2266"/>
      <c r="AB60" s="2266"/>
      <c r="AC60" s="2266"/>
      <c r="AD60" s="2266"/>
      <c r="AE60" s="2266"/>
      <c r="AF60" s="2266"/>
      <c r="AG60" s="2266"/>
      <c r="AH60" s="2266"/>
      <c r="AI60" s="2266"/>
      <c r="AJ60" s="2266"/>
      <c r="AK60" s="2266"/>
      <c r="AL60" s="2266"/>
      <c r="AM60" s="2266"/>
      <c r="AN60" s="2266"/>
      <c r="AO60" s="2266"/>
      <c r="AP60" s="2266"/>
      <c r="AQ60" s="2266"/>
      <c r="AR60" s="2266"/>
    </row>
    <row r="61" spans="1:55">
      <c r="A61" s="2267">
        <f>+ZAKL_DATA!A46</f>
        <v>0</v>
      </c>
      <c r="B61" s="655"/>
      <c r="C61" s="655"/>
      <c r="D61" s="655"/>
      <c r="E61" s="655"/>
      <c r="F61" s="655"/>
      <c r="G61" s="655"/>
      <c r="H61" s="655"/>
      <c r="I61" s="655"/>
      <c r="J61" s="655"/>
      <c r="K61" s="655"/>
      <c r="L61" s="655"/>
      <c r="M61" s="655"/>
      <c r="N61" s="655"/>
      <c r="O61" s="655"/>
      <c r="P61" s="655"/>
      <c r="Q61" s="655"/>
      <c r="R61" s="655"/>
      <c r="S61" s="655"/>
      <c r="T61" s="655"/>
      <c r="U61" s="655"/>
      <c r="V61" s="655"/>
      <c r="W61" s="655"/>
      <c r="X61" s="655"/>
      <c r="Y61" s="655"/>
      <c r="Z61" s="655"/>
      <c r="AA61" s="655"/>
      <c r="AB61" s="655"/>
      <c r="AC61" s="655"/>
      <c r="AD61" s="655"/>
      <c r="AE61" s="655"/>
      <c r="AF61" s="655"/>
      <c r="AG61" s="655"/>
      <c r="AH61" s="655"/>
      <c r="AI61" s="655"/>
      <c r="AJ61" s="655"/>
      <c r="AK61" s="655"/>
      <c r="AL61" s="655"/>
      <c r="AM61" s="655"/>
      <c r="AN61" s="655"/>
      <c r="AO61" s="655"/>
      <c r="AP61" s="655"/>
      <c r="AQ61" s="655"/>
      <c r="AR61" s="655"/>
    </row>
    <row r="62" spans="1:5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row>
    <row r="63" spans="1:5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row>
    <row r="64" spans="1:5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row>
    <row r="65" spans="1:44">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row>
    <row r="66" spans="1:44">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row>
    <row r="67" spans="1:44">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row>
    <row r="68" spans="1:44">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row>
    <row r="69" spans="1:44">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row>
    <row r="70" spans="1:44">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row>
    <row r="71" spans="1:44">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row>
    <row r="72" spans="1:44">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row>
    <row r="73" spans="1:44">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row>
    <row r="74" spans="1:4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row>
    <row r="75" spans="1:44">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row>
    <row r="76" spans="1:44">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row>
    <row r="77" spans="1:44">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row>
    <row r="78" spans="1:44">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row>
    <row r="79" spans="1:44">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row>
    <row r="80" spans="1:44">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row>
    <row r="81" spans="1:44">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row>
    <row r="82" spans="1:44">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row>
    <row r="83" spans="1:44">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row>
    <row r="84" spans="1:4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row>
    <row r="85" spans="1:44">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row>
    <row r="86" spans="1:44">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row>
    <row r="87" spans="1:44">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row>
    <row r="88" spans="1:44">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row>
    <row r="89" spans="1:44">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row>
    <row r="90" spans="1:44">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row>
    <row r="91" spans="1:44">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row>
    <row r="92" spans="1:44">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row>
    <row r="93" spans="1:44">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row>
    <row r="94" spans="1:4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row>
    <row r="95" spans="1:44">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row>
    <row r="96" spans="1:44">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row>
    <row r="97" spans="1:44">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row>
    <row r="98" spans="1:44">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row>
    <row r="99" spans="1:44">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row>
    <row r="100" spans="1:44">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row>
    <row r="101" spans="1:44">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row>
    <row r="102" spans="1:44">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row>
    <row r="103" spans="1:44">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row>
    <row r="104" spans="1:4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row>
    <row r="105" spans="1:44">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row>
    <row r="106" spans="1:44">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row>
    <row r="107" spans="1:44">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row>
    <row r="108" spans="1:4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row>
    <row r="109" spans="1:44">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row>
    <row r="110" spans="1:44">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row>
    <row r="111" spans="1:44">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row>
    <row r="112" spans="1:44">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row>
    <row r="113" spans="2:44">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row>
  </sheetData>
  <sheetProtection algorithmName="SHA-512" hashValue="Zbn2h16Jpjt28vFKYoVh6caIS/62nmJAzocWDCI39qu65Oy9I1ahXAuJvSMSIrzqP5RqWp4iWZ7kBIZtb/odrw==" saltValue="uOf9aprnj+5IGC2Wa8zhBw==" spinCount="100000" sheet="1" objects="1" scenarios="1"/>
  <mergeCells count="151">
    <mergeCell ref="H31:Z31"/>
    <mergeCell ref="AB30:AR30"/>
    <mergeCell ref="AD31:AR31"/>
    <mergeCell ref="AD29:AR29"/>
    <mergeCell ref="A33:AA33"/>
    <mergeCell ref="B31:G32"/>
    <mergeCell ref="P30:S30"/>
    <mergeCell ref="R32:Z32"/>
    <mergeCell ref="AB32:AR33"/>
    <mergeCell ref="T26:W26"/>
    <mergeCell ref="X26:AA26"/>
    <mergeCell ref="U27:W27"/>
    <mergeCell ref="Y27:AA27"/>
    <mergeCell ref="B28:AA28"/>
    <mergeCell ref="N29:O29"/>
    <mergeCell ref="P29:S29"/>
    <mergeCell ref="N26:O26"/>
    <mergeCell ref="P27:S27"/>
    <mergeCell ref="B25:AA25"/>
    <mergeCell ref="AD25:AR25"/>
    <mergeCell ref="AB26:AR26"/>
    <mergeCell ref="AD27:AR27"/>
    <mergeCell ref="N23:O23"/>
    <mergeCell ref="AB28:AR28"/>
    <mergeCell ref="H32:P32"/>
    <mergeCell ref="A50:V50"/>
    <mergeCell ref="W50:AR50"/>
    <mergeCell ref="T43:V43"/>
    <mergeCell ref="B44:H44"/>
    <mergeCell ref="I44:S44"/>
    <mergeCell ref="T44:V44"/>
    <mergeCell ref="W43:X43"/>
    <mergeCell ref="Y43:AC43"/>
    <mergeCell ref="AE43:AR43"/>
    <mergeCell ref="W44:AC44"/>
    <mergeCell ref="AE44:AR44"/>
    <mergeCell ref="B40:M40"/>
    <mergeCell ref="N40:O40"/>
    <mergeCell ref="P40:V40"/>
    <mergeCell ref="X40:AR40"/>
    <mergeCell ref="B41:V41"/>
    <mergeCell ref="P26:S26"/>
    <mergeCell ref="AT1:AV1"/>
    <mergeCell ref="Q57:Y58"/>
    <mergeCell ref="AO57:AP58"/>
    <mergeCell ref="AR57:AR58"/>
    <mergeCell ref="A59:AR59"/>
    <mergeCell ref="A60:AR60"/>
    <mergeCell ref="A61:AR61"/>
    <mergeCell ref="A51:AR51"/>
    <mergeCell ref="A52:Z55"/>
    <mergeCell ref="AB53:AN58"/>
    <mergeCell ref="AO53:AR56"/>
    <mergeCell ref="B56:P56"/>
    <mergeCell ref="C57:P57"/>
    <mergeCell ref="W45:AR45"/>
    <mergeCell ref="A45:V45"/>
    <mergeCell ref="B46:H46"/>
    <mergeCell ref="I46:S46"/>
    <mergeCell ref="T46:V46"/>
    <mergeCell ref="W46:AR46"/>
    <mergeCell ref="A47:V47"/>
    <mergeCell ref="X47:AF47"/>
    <mergeCell ref="AG47:AN47"/>
    <mergeCell ref="B43:H43"/>
    <mergeCell ref="I43:S43"/>
    <mergeCell ref="Y41:AR41"/>
    <mergeCell ref="B42:M42"/>
    <mergeCell ref="N42:O42"/>
    <mergeCell ref="P42:V42"/>
    <mergeCell ref="Y42:AG42"/>
    <mergeCell ref="AH42:AO42"/>
    <mergeCell ref="AP42:AR42"/>
    <mergeCell ref="B37:V37"/>
    <mergeCell ref="W37:AR37"/>
    <mergeCell ref="W39:AR39"/>
    <mergeCell ref="X38:AD38"/>
    <mergeCell ref="AE38:AN38"/>
    <mergeCell ref="AO38:AR38"/>
    <mergeCell ref="B38:M38"/>
    <mergeCell ref="N38:O38"/>
    <mergeCell ref="P38:V38"/>
    <mergeCell ref="B39:V39"/>
    <mergeCell ref="A34:V34"/>
    <mergeCell ref="W34:AR34"/>
    <mergeCell ref="W35:AR35"/>
    <mergeCell ref="B35:H35"/>
    <mergeCell ref="I35:S35"/>
    <mergeCell ref="T35:V35"/>
    <mergeCell ref="B36:H36"/>
    <mergeCell ref="I36:S36"/>
    <mergeCell ref="T36:V36"/>
    <mergeCell ref="X36:AD36"/>
    <mergeCell ref="AE36:AN36"/>
    <mergeCell ref="AO36:AR36"/>
    <mergeCell ref="AD23:AR23"/>
    <mergeCell ref="AN11:AR11"/>
    <mergeCell ref="AG16:AR16"/>
    <mergeCell ref="AG17:AR17"/>
    <mergeCell ref="A14:F14"/>
    <mergeCell ref="H14:AI14"/>
    <mergeCell ref="AK14:AR14"/>
    <mergeCell ref="A15:F15"/>
    <mergeCell ref="H15:AI15"/>
    <mergeCell ref="AK15:AR15"/>
    <mergeCell ref="A16:AE16"/>
    <mergeCell ref="A17:AE17"/>
    <mergeCell ref="A18:AR18"/>
    <mergeCell ref="A19:AR19"/>
    <mergeCell ref="A20:AR20"/>
    <mergeCell ref="A21:AR21"/>
    <mergeCell ref="B22:AA22"/>
    <mergeCell ref="AB22:AR22"/>
    <mergeCell ref="P23:AA24"/>
    <mergeCell ref="AB24:AR24"/>
    <mergeCell ref="T1:AA1"/>
    <mergeCell ref="AF1:AR7"/>
    <mergeCell ref="T2:AA2"/>
    <mergeCell ref="T3:AA3"/>
    <mergeCell ref="T4:AA4"/>
    <mergeCell ref="A5:R6"/>
    <mergeCell ref="T5:AA5"/>
    <mergeCell ref="A1:P4"/>
    <mergeCell ref="Q3:S4"/>
    <mergeCell ref="U6:Z6"/>
    <mergeCell ref="A7:S7"/>
    <mergeCell ref="T7:V7"/>
    <mergeCell ref="X7:Y7"/>
    <mergeCell ref="A8:AR8"/>
    <mergeCell ref="A9:AR9"/>
    <mergeCell ref="A12:W12"/>
    <mergeCell ref="Y12:AF12"/>
    <mergeCell ref="AH12:AR12"/>
    <mergeCell ref="A13:W13"/>
    <mergeCell ref="Y13:AF13"/>
    <mergeCell ref="AH13:AR13"/>
    <mergeCell ref="A10:W10"/>
    <mergeCell ref="Y10:AL10"/>
    <mergeCell ref="AN10:AR10"/>
    <mergeCell ref="A11:W11"/>
    <mergeCell ref="Y11:AL11"/>
    <mergeCell ref="AO47:AR47"/>
    <mergeCell ref="B48:V48"/>
    <mergeCell ref="B49:H49"/>
    <mergeCell ref="I49:S49"/>
    <mergeCell ref="T49:V49"/>
    <mergeCell ref="Y49:AA49"/>
    <mergeCell ref="AC49:AE49"/>
    <mergeCell ref="AG49:AI49"/>
    <mergeCell ref="AJ49:AN49"/>
    <mergeCell ref="AO49:AR49"/>
  </mergeCells>
  <printOptions horizontalCentered="1" verticalCentered="1"/>
  <pageMargins left="0.27559055118110237" right="0.27559055118110237" top="0.31496062992125984" bottom="0" header="0.51181102362204722" footer="0"/>
  <pageSetup paperSize="9" scale="8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983F3-1EF8-4BD5-8E9D-42F04D2242A3}">
  <sheetPr>
    <pageSetUpPr fitToPage="1"/>
  </sheetPr>
  <dimension ref="A1:AD174"/>
  <sheetViews>
    <sheetView tabSelected="1" zoomScaleNormal="100" workbookViewId="0">
      <selection activeCell="A7" sqref="A7:J7"/>
    </sheetView>
  </sheetViews>
  <sheetFormatPr defaultRowHeight="12.75"/>
  <cols>
    <col min="11" max="11" width="9.140625" style="2"/>
    <col min="12" max="12" width="90.7109375" style="2" customWidth="1"/>
    <col min="13" max="30" width="9.140625" style="2"/>
  </cols>
  <sheetData>
    <row r="1" spans="1:12" ht="12.75" customHeight="1">
      <c r="A1" s="144"/>
      <c r="B1" s="144"/>
      <c r="C1" s="144"/>
      <c r="D1" s="144"/>
      <c r="E1" s="144"/>
      <c r="F1" s="144"/>
      <c r="G1" s="144"/>
      <c r="H1" s="144"/>
      <c r="I1" s="144"/>
      <c r="J1" s="144"/>
      <c r="L1" s="646"/>
    </row>
    <row r="2" spans="1:12" ht="12.75" customHeight="1">
      <c r="A2" s="144"/>
      <c r="B2" s="144"/>
      <c r="C2" s="144"/>
      <c r="D2" s="144"/>
      <c r="E2" s="144"/>
      <c r="F2" s="144"/>
      <c r="G2" s="144"/>
      <c r="H2" s="144"/>
      <c r="I2" s="144"/>
      <c r="J2" s="144"/>
      <c r="L2" s="646"/>
    </row>
    <row r="3" spans="1:12" ht="12.75" customHeight="1">
      <c r="A3" s="144"/>
      <c r="B3" s="144"/>
      <c r="C3" s="144"/>
      <c r="D3" s="144"/>
      <c r="E3" s="144"/>
      <c r="F3" s="144"/>
      <c r="G3" s="144"/>
      <c r="H3" s="144"/>
      <c r="I3" s="144"/>
      <c r="J3" s="144"/>
      <c r="L3" s="646"/>
    </row>
    <row r="4" spans="1:12">
      <c r="A4" s="144"/>
      <c r="B4" s="144"/>
      <c r="C4" s="144"/>
      <c r="D4" s="144"/>
      <c r="E4" s="144"/>
      <c r="F4" s="144"/>
      <c r="G4" s="144"/>
      <c r="H4" s="144"/>
      <c r="I4" s="144"/>
      <c r="J4" s="144"/>
      <c r="L4" s="173"/>
    </row>
    <row r="5" spans="1:12" ht="12.75" customHeight="1">
      <c r="A5" s="144"/>
      <c r="B5" s="144"/>
      <c r="C5" s="144"/>
      <c r="D5" s="144"/>
      <c r="E5" s="144"/>
      <c r="F5" s="144"/>
      <c r="G5" s="144"/>
      <c r="H5" s="144"/>
      <c r="I5" s="144"/>
      <c r="J5" s="144"/>
      <c r="L5" s="642"/>
    </row>
    <row r="6" spans="1:12">
      <c r="A6" s="144"/>
      <c r="B6" s="144"/>
      <c r="C6" s="144"/>
      <c r="D6" s="144"/>
      <c r="E6" s="144"/>
      <c r="F6" s="144"/>
      <c r="G6" s="144"/>
      <c r="H6" s="144"/>
      <c r="I6" s="144"/>
      <c r="J6" s="144"/>
      <c r="L6" s="642"/>
    </row>
    <row r="7" spans="1:12" ht="90" customHeight="1">
      <c r="A7" s="647" t="s">
        <v>3716</v>
      </c>
      <c r="B7" s="647"/>
      <c r="C7" s="647"/>
      <c r="D7" s="647"/>
      <c r="E7" s="647"/>
      <c r="F7" s="647"/>
      <c r="G7" s="647"/>
      <c r="H7" s="647"/>
      <c r="I7" s="647"/>
      <c r="J7" s="647"/>
      <c r="L7" s="642"/>
    </row>
    <row r="8" spans="1:12" ht="15" customHeight="1">
      <c r="A8" s="648" t="s">
        <v>3927</v>
      </c>
      <c r="B8" s="648"/>
      <c r="C8" s="648"/>
      <c r="D8" s="648"/>
      <c r="E8" s="648"/>
      <c r="F8" s="648"/>
      <c r="G8" s="648"/>
      <c r="H8" s="648"/>
      <c r="I8" s="648"/>
      <c r="J8" s="648"/>
      <c r="L8" s="642"/>
    </row>
    <row r="9" spans="1:12" ht="15" customHeight="1">
      <c r="A9" s="649" t="s">
        <v>4000</v>
      </c>
      <c r="B9" s="649"/>
      <c r="C9" s="649"/>
      <c r="D9" s="649"/>
      <c r="E9" s="649"/>
      <c r="F9" s="649"/>
      <c r="G9" s="649"/>
      <c r="H9" s="649"/>
      <c r="I9" s="649"/>
      <c r="J9" s="649"/>
      <c r="L9" s="642"/>
    </row>
    <row r="10" spans="1:12" ht="45" customHeight="1">
      <c r="A10" s="650"/>
      <c r="B10" s="650"/>
      <c r="C10" s="650"/>
      <c r="D10" s="650"/>
      <c r="E10" s="650"/>
      <c r="F10" s="650"/>
      <c r="G10" s="650"/>
      <c r="H10" s="650"/>
      <c r="I10" s="650"/>
      <c r="J10" s="650"/>
      <c r="L10" s="642"/>
    </row>
    <row r="11" spans="1:12" ht="15">
      <c r="A11" s="643" t="s">
        <v>3711</v>
      </c>
      <c r="B11" s="651"/>
      <c r="C11" s="651"/>
      <c r="D11" s="651"/>
      <c r="E11" s="651"/>
      <c r="F11" s="651"/>
      <c r="G11" s="651"/>
      <c r="H11" s="651"/>
      <c r="I11" s="651"/>
      <c r="J11" s="651"/>
      <c r="L11" s="642"/>
    </row>
    <row r="12" spans="1:12" ht="30" customHeight="1">
      <c r="A12" s="641" t="s">
        <v>4004</v>
      </c>
      <c r="B12" s="641"/>
      <c r="C12" s="641"/>
      <c r="D12" s="641"/>
      <c r="E12" s="641"/>
      <c r="F12" s="641"/>
      <c r="G12" s="641"/>
      <c r="H12" s="641"/>
      <c r="I12" s="641"/>
      <c r="J12" s="641"/>
      <c r="L12" s="642"/>
    </row>
    <row r="13" spans="1:12" ht="30" customHeight="1">
      <c r="A13" s="641" t="s">
        <v>3712</v>
      </c>
      <c r="B13" s="641"/>
      <c r="C13" s="641"/>
      <c r="D13" s="641"/>
      <c r="E13" s="641"/>
      <c r="F13" s="641"/>
      <c r="G13" s="641"/>
      <c r="H13" s="641"/>
      <c r="I13" s="641"/>
      <c r="J13" s="641"/>
      <c r="L13" s="642"/>
    </row>
    <row r="14" spans="1:12" ht="45" customHeight="1">
      <c r="A14" s="641" t="s">
        <v>3713</v>
      </c>
      <c r="B14" s="641"/>
      <c r="C14" s="641"/>
      <c r="D14" s="641"/>
      <c r="E14" s="641"/>
      <c r="F14" s="641"/>
      <c r="G14" s="641"/>
      <c r="H14" s="641"/>
      <c r="I14" s="641"/>
      <c r="J14" s="641"/>
      <c r="L14" s="642"/>
    </row>
    <row r="15" spans="1:12" ht="30" customHeight="1">
      <c r="A15" s="641" t="s">
        <v>3714</v>
      </c>
      <c r="B15" s="641"/>
      <c r="C15" s="641"/>
      <c r="D15" s="641"/>
      <c r="E15" s="641"/>
      <c r="F15" s="641"/>
      <c r="G15" s="641"/>
      <c r="H15" s="641"/>
      <c r="I15" s="641"/>
      <c r="J15" s="641"/>
      <c r="L15" s="642"/>
    </row>
    <row r="16" spans="1:12" ht="30" customHeight="1">
      <c r="A16" s="641" t="s">
        <v>3715</v>
      </c>
      <c r="B16" s="641"/>
      <c r="C16" s="641"/>
      <c r="D16" s="641"/>
      <c r="E16" s="641"/>
      <c r="F16" s="641"/>
      <c r="G16" s="641"/>
      <c r="H16" s="641"/>
      <c r="I16" s="641"/>
      <c r="J16" s="641"/>
      <c r="L16" s="642"/>
    </row>
    <row r="17" spans="1:12" ht="45" customHeight="1">
      <c r="A17" s="643"/>
      <c r="B17" s="644"/>
      <c r="C17" s="644"/>
      <c r="D17" s="644"/>
      <c r="E17" s="644"/>
      <c r="F17" s="644"/>
      <c r="G17" s="644"/>
      <c r="H17" s="644"/>
      <c r="I17" s="644"/>
      <c r="J17" s="644"/>
      <c r="L17" s="642"/>
    </row>
    <row r="18" spans="1:12" ht="45" customHeight="1">
      <c r="A18" s="2348" t="s">
        <v>4001</v>
      </c>
      <c r="B18" s="2348"/>
      <c r="C18" s="2348"/>
      <c r="D18" s="2348"/>
      <c r="E18" s="2348"/>
      <c r="F18" s="2348"/>
      <c r="G18" s="2348"/>
      <c r="H18" s="2348"/>
      <c r="I18" s="2348"/>
      <c r="J18" s="2348"/>
      <c r="L18" s="483"/>
    </row>
    <row r="19" spans="1:12" ht="34.5" customHeight="1">
      <c r="A19" s="640" t="str">
        <f>HYPERLINK("http://business.center.cz/business/sablony/s3-priznani-k-dani-z-prijmu-fyzickych-osob.aspx")</f>
        <v>http://business.center.cz/business/sablony/s3-priznani-k-dani-z-prijmu-fyzickych-osob.aspx</v>
      </c>
      <c r="B19" s="2349"/>
      <c r="C19" s="2349"/>
      <c r="D19" s="2349"/>
      <c r="E19" s="2349"/>
      <c r="F19" s="2349"/>
      <c r="G19" s="2349"/>
      <c r="H19" s="2349"/>
      <c r="I19" s="2349"/>
      <c r="J19" s="2349"/>
      <c r="L19" s="642"/>
    </row>
    <row r="20" spans="1:12" ht="45" customHeight="1">
      <c r="A20" s="2350"/>
      <c r="B20" s="2350"/>
      <c r="C20" s="2350"/>
      <c r="D20" s="2350"/>
      <c r="E20" s="2350"/>
      <c r="F20" s="2350"/>
      <c r="G20" s="2350"/>
      <c r="H20" s="2350"/>
      <c r="I20" s="2350"/>
      <c r="J20" s="2350"/>
      <c r="L20" s="642"/>
    </row>
    <row r="21" spans="1:12" ht="15" customHeight="1">
      <c r="A21" s="2351" t="s">
        <v>4002</v>
      </c>
      <c r="B21" s="2352"/>
      <c r="C21" s="2352"/>
      <c r="D21" s="2352"/>
      <c r="E21" s="2352"/>
      <c r="F21" s="2352"/>
      <c r="G21" s="2352"/>
      <c r="H21" s="2352"/>
      <c r="I21" s="2352"/>
      <c r="J21" s="2352"/>
      <c r="L21" s="642"/>
    </row>
    <row r="22" spans="1:12" ht="30" customHeight="1">
      <c r="A22" s="2353" t="s">
        <v>4005</v>
      </c>
      <c r="B22" s="2353"/>
      <c r="C22" s="2353"/>
      <c r="D22" s="2353"/>
      <c r="E22" s="2353"/>
      <c r="F22" s="2353"/>
      <c r="G22" s="2353"/>
      <c r="H22" s="2353"/>
      <c r="I22" s="2353"/>
      <c r="J22" s="2353"/>
      <c r="L22" s="642"/>
    </row>
    <row r="23" spans="1:12" ht="15" customHeight="1">
      <c r="A23" s="2353" t="s">
        <v>4003</v>
      </c>
      <c r="B23" s="2353"/>
      <c r="C23" s="2353"/>
      <c r="D23" s="2353"/>
      <c r="E23" s="2353"/>
      <c r="F23" s="2353"/>
      <c r="G23" s="2353"/>
      <c r="H23" s="2353"/>
      <c r="I23" s="2353"/>
      <c r="J23" s="2353"/>
      <c r="L23" s="642"/>
    </row>
    <row r="24" spans="1:12" ht="12.75" customHeight="1">
      <c r="A24" s="645"/>
      <c r="B24" s="645"/>
      <c r="C24" s="645"/>
      <c r="D24" s="645"/>
      <c r="E24" s="645"/>
      <c r="F24" s="645"/>
      <c r="G24" s="645"/>
      <c r="H24" s="645"/>
      <c r="I24" s="645"/>
      <c r="J24" s="645"/>
      <c r="L24" s="642"/>
    </row>
    <row r="25" spans="1:12" ht="12.75" customHeight="1">
      <c r="A25" s="645"/>
      <c r="B25" s="645"/>
      <c r="C25" s="645"/>
      <c r="D25" s="645"/>
      <c r="E25" s="645"/>
      <c r="F25" s="645"/>
      <c r="G25" s="645"/>
      <c r="H25" s="645"/>
      <c r="I25" s="645"/>
      <c r="J25" s="645"/>
      <c r="L25" s="642"/>
    </row>
    <row r="26" spans="1:12" ht="12.75" customHeight="1">
      <c r="A26" s="645" t="s">
        <v>235</v>
      </c>
      <c r="B26" s="645"/>
      <c r="C26" s="645"/>
      <c r="D26" s="645"/>
      <c r="E26" s="645"/>
      <c r="F26" s="645"/>
      <c r="G26" s="645"/>
      <c r="H26" s="645"/>
      <c r="I26" s="645"/>
      <c r="J26" s="645"/>
      <c r="L26" s="642"/>
    </row>
    <row r="27" spans="1:12">
      <c r="A27" s="2"/>
      <c r="B27" s="2"/>
      <c r="C27" s="2"/>
      <c r="D27" s="2"/>
      <c r="E27" s="2"/>
      <c r="F27" s="2"/>
      <c r="G27" s="2"/>
      <c r="H27" s="2"/>
      <c r="I27" s="2"/>
      <c r="J27" s="2"/>
    </row>
    <row r="28" spans="1:12">
      <c r="A28" s="2"/>
      <c r="B28" s="2"/>
      <c r="C28" s="2"/>
      <c r="D28" s="2"/>
      <c r="E28" s="2"/>
      <c r="F28" s="2"/>
      <c r="G28" s="2"/>
      <c r="H28" s="2"/>
      <c r="I28" s="2"/>
      <c r="J28" s="2"/>
    </row>
    <row r="29" spans="1:12">
      <c r="A29" s="2"/>
      <c r="B29" s="2"/>
      <c r="C29" s="2"/>
      <c r="D29" s="2"/>
      <c r="E29" s="2"/>
      <c r="F29" s="2"/>
      <c r="G29" s="2"/>
      <c r="H29" s="2"/>
      <c r="I29" s="2"/>
      <c r="J29" s="2"/>
    </row>
    <row r="30" spans="1:12">
      <c r="A30" s="2"/>
      <c r="B30" s="2"/>
      <c r="C30" s="2"/>
      <c r="D30" s="2"/>
      <c r="E30" s="2"/>
      <c r="F30" s="2"/>
      <c r="G30" s="2"/>
      <c r="H30" s="2"/>
      <c r="I30" s="2"/>
      <c r="J30" s="2"/>
    </row>
    <row r="31" spans="1:12">
      <c r="A31" s="2"/>
      <c r="B31" s="2"/>
      <c r="C31" s="2"/>
      <c r="D31" s="2"/>
      <c r="E31" s="2"/>
      <c r="F31" s="2"/>
      <c r="G31" s="2"/>
      <c r="H31" s="2"/>
      <c r="I31" s="2"/>
      <c r="J31" s="2"/>
    </row>
    <row r="32" spans="1:12">
      <c r="A32" s="2"/>
      <c r="B32" s="2"/>
      <c r="C32" s="2"/>
      <c r="D32" s="2"/>
      <c r="E32" s="2"/>
      <c r="F32" s="2"/>
      <c r="G32" s="2"/>
      <c r="H32" s="2"/>
      <c r="I32" s="2"/>
      <c r="J32" s="2"/>
    </row>
    <row r="33" spans="1:10">
      <c r="A33" s="2"/>
      <c r="B33" s="2"/>
      <c r="C33" s="2"/>
      <c r="D33" s="2"/>
      <c r="E33" s="2"/>
      <c r="F33" s="2"/>
      <c r="G33" s="2"/>
      <c r="H33" s="2"/>
      <c r="I33" s="2"/>
      <c r="J33" s="2"/>
    </row>
    <row r="34" spans="1:10" s="2" customFormat="1"/>
    <row r="35" spans="1:10" s="2" customFormat="1"/>
    <row r="36" spans="1:10" s="2" customFormat="1"/>
    <row r="37" spans="1:10" s="2" customFormat="1"/>
    <row r="38" spans="1:10" s="2" customFormat="1"/>
    <row r="39" spans="1:10" s="2" customFormat="1"/>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1:1" s="2" customFormat="1" hidden="1">
      <c r="A97" s="269">
        <v>1</v>
      </c>
    </row>
    <row r="98" spans="1:1" s="2" customFormat="1" hidden="1">
      <c r="A98" s="269" t="s">
        <v>350</v>
      </c>
    </row>
    <row r="99" spans="1:1" s="2" customFormat="1"/>
    <row r="100" spans="1:1" s="2" customFormat="1"/>
    <row r="101" spans="1:1" s="2" customFormat="1"/>
    <row r="102" spans="1:1" s="2" customFormat="1"/>
    <row r="103" spans="1:1" s="2" customFormat="1"/>
    <row r="104" spans="1:1" s="2" customFormat="1"/>
    <row r="105" spans="1:1" s="2" customFormat="1"/>
    <row r="106" spans="1:1" s="2" customFormat="1"/>
    <row r="107" spans="1:1" s="2" customFormat="1"/>
    <row r="108" spans="1:1" s="2" customFormat="1"/>
    <row r="109" spans="1:1" s="2" customFormat="1"/>
    <row r="110" spans="1:1" s="2" customFormat="1"/>
    <row r="111" spans="1:1" s="2" customFormat="1"/>
    <row r="112" spans="1:1"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sheetData>
  <sheetProtection algorithmName="SHA-512" hashValue="dGgB0/u5BZsxx17aW3QmpalK9mqb4TAGS2F4h1mREQChVZVnOx1ghiN3hzEGuejJMgP+fXFbKrMVJ1xGwN/1pA==" saltValue="29JyQX8dK9f2cDVuyctizQ==" spinCount="100000" sheet="1" objects="1" scenarios="1"/>
  <mergeCells count="23">
    <mergeCell ref="A24:J24"/>
    <mergeCell ref="A25:J25"/>
    <mergeCell ref="A26:J26"/>
    <mergeCell ref="A15:J15"/>
    <mergeCell ref="A16:J16"/>
    <mergeCell ref="A17:J17"/>
    <mergeCell ref="A18:J18"/>
    <mergeCell ref="A19:J19"/>
    <mergeCell ref="L19:L26"/>
    <mergeCell ref="A20:J20"/>
    <mergeCell ref="A21:J21"/>
    <mergeCell ref="A22:J22"/>
    <mergeCell ref="A23:J23"/>
    <mergeCell ref="L1:L3"/>
    <mergeCell ref="L5:L17"/>
    <mergeCell ref="A7:J7"/>
    <mergeCell ref="A8:J8"/>
    <mergeCell ref="A9:J9"/>
    <mergeCell ref="A10:J10"/>
    <mergeCell ref="A11:J11"/>
    <mergeCell ref="A12:J12"/>
    <mergeCell ref="A13:J13"/>
    <mergeCell ref="A14:J14"/>
  </mergeCells>
  <printOptions horizontalCentered="1" verticalCentered="1"/>
  <pageMargins left="0.39370078740157483" right="0.39370078740157483" top="0.78740157480314965" bottom="0.78740157480314965" header="0.51181102362204722" footer="0.51181102362204722"/>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AB184"/>
  <sheetViews>
    <sheetView workbookViewId="0">
      <pane xSplit="1" ySplit="8" topLeftCell="B9" activePane="bottomRight" state="frozen"/>
      <selection pane="topRight" activeCell="B1" sqref="B1"/>
      <selection pane="bottomLeft" activeCell="A9" sqref="A9"/>
      <selection pane="bottomRight" activeCell="B9" sqref="B9"/>
    </sheetView>
  </sheetViews>
  <sheetFormatPr defaultColWidth="9.140625" defaultRowHeight="12.75"/>
  <cols>
    <col min="1" max="1" width="24" style="2" customWidth="1"/>
    <col min="2" max="5" width="18.7109375" style="2" customWidth="1"/>
    <col min="6" max="6" width="11.42578125" style="20" bestFit="1" customWidth="1"/>
    <col min="7" max="28" width="9.140625" style="20"/>
    <col min="29" max="16384" width="9.140625" style="2"/>
  </cols>
  <sheetData>
    <row r="1" spans="1:8" ht="18" customHeight="1">
      <c r="A1" s="2331" t="s">
        <v>3952</v>
      </c>
      <c r="B1" s="2332"/>
      <c r="C1" s="2332"/>
      <c r="D1" s="2332"/>
      <c r="E1" s="2332"/>
      <c r="F1" s="22"/>
      <c r="G1" s="22"/>
    </row>
    <row r="2" spans="1:8" ht="8.1" customHeight="1" thickBot="1">
      <c r="A2" s="2331"/>
      <c r="B2" s="2332"/>
      <c r="C2" s="2332"/>
      <c r="D2" s="2332"/>
      <c r="E2" s="2332"/>
      <c r="F2" s="22"/>
      <c r="G2" s="22"/>
    </row>
    <row r="3" spans="1:8" ht="18" customHeight="1">
      <c r="A3" s="2336" t="s">
        <v>3812</v>
      </c>
      <c r="B3" s="2337"/>
      <c r="C3" s="2341" t="str">
        <f>+CONCATENATE(ZAKL_DATA!B5," ",ZAKL_DATA!B4," ",ZAKL_DATA!B7)</f>
        <v xml:space="preserve">  </v>
      </c>
      <c r="D3" s="2342"/>
      <c r="E3" s="2343"/>
      <c r="F3" s="22"/>
      <c r="H3" s="22"/>
    </row>
    <row r="4" spans="1:8" ht="18" customHeight="1">
      <c r="A4" s="2338" t="s">
        <v>3514</v>
      </c>
      <c r="B4" s="2334"/>
      <c r="C4" s="2344">
        <f>+'DAP3'!D30</f>
        <v>0</v>
      </c>
      <c r="D4" s="2334"/>
      <c r="E4" s="2335"/>
      <c r="F4" s="22"/>
      <c r="H4" s="22"/>
    </row>
    <row r="5" spans="1:8" ht="18" customHeight="1">
      <c r="A5" s="2338" t="s">
        <v>3813</v>
      </c>
      <c r="B5" s="2334"/>
      <c r="C5" s="2333">
        <f>+C4</f>
        <v>0</v>
      </c>
      <c r="D5" s="2334"/>
      <c r="E5" s="2335"/>
      <c r="F5" s="22"/>
      <c r="G5" s="22"/>
      <c r="H5" s="22"/>
    </row>
    <row r="6" spans="1:8" ht="18" customHeight="1" thickBot="1">
      <c r="A6" s="2339" t="s">
        <v>3820</v>
      </c>
      <c r="B6" s="2340"/>
      <c r="C6" s="2345">
        <f>IF(OR(EXACT((LEFT(+'DAP1'!J17,1)),A60),EXACT((LEFT(+'DAP1'!J19,1)),A60)),+DATE(+'DAP1'!F24+1,6,30),DATE('DAP1'!F24+1,3,31))+1</f>
        <v>45748</v>
      </c>
      <c r="D6" s="2346"/>
      <c r="E6" s="2347"/>
      <c r="F6" s="22"/>
      <c r="G6" s="2322" t="s">
        <v>3826</v>
      </c>
      <c r="H6" s="22"/>
    </row>
    <row r="7" spans="1:8" ht="8.1" customHeight="1" thickBot="1">
      <c r="A7" s="2331"/>
      <c r="B7" s="2332"/>
      <c r="C7" s="2332"/>
      <c r="D7" s="2332"/>
      <c r="E7" s="2332"/>
      <c r="F7" s="22"/>
      <c r="G7" s="2323"/>
    </row>
    <row r="8" spans="1:8" ht="27" customHeight="1">
      <c r="A8" s="546" t="s">
        <v>3818</v>
      </c>
      <c r="B8" s="547" t="s">
        <v>3814</v>
      </c>
      <c r="C8" s="547" t="s">
        <v>3815</v>
      </c>
      <c r="D8" s="548" t="s">
        <v>3816</v>
      </c>
      <c r="E8" s="549" t="s">
        <v>3817</v>
      </c>
      <c r="F8" s="23"/>
      <c r="G8" s="555" t="s">
        <v>3825</v>
      </c>
    </row>
    <row r="9" spans="1:8" ht="15.95" customHeight="1">
      <c r="A9" s="543">
        <f>+C6</f>
        <v>45748</v>
      </c>
      <c r="B9" s="550">
        <f>+'DAP3'!D48</f>
        <v>0</v>
      </c>
      <c r="C9" s="550">
        <v>0</v>
      </c>
      <c r="D9" s="551">
        <v>0</v>
      </c>
      <c r="E9" s="265">
        <v>0</v>
      </c>
      <c r="G9" s="556" t="str">
        <f t="shared" ref="G9:G43" si="0">+IF(+ABS(B9)+ABS(C9)+ABS(D9)+ABS(E9)=0,"NE","ANO")</f>
        <v>NE</v>
      </c>
    </row>
    <row r="10" spans="1:8" ht="27.95" customHeight="1">
      <c r="A10" s="544" t="s">
        <v>3819</v>
      </c>
      <c r="B10" s="550">
        <v>0</v>
      </c>
      <c r="C10" s="550">
        <f>+'SP1'!H66</f>
        <v>46222</v>
      </c>
      <c r="D10" s="550">
        <v>0</v>
      </c>
      <c r="E10" s="265">
        <f>IF(OR(EXACT(+VZP!AV3,"X"),EXACT(VZP!AV3,"x"),EXACT('Ostatní ZP'!AV3,"X"),EXACT('Ostatní ZP'!AV3,"x")),-'Ostatní ZP'!AE38,-VZP!AE38)</f>
        <v>35614</v>
      </c>
      <c r="G10" s="556" t="str">
        <f t="shared" si="0"/>
        <v>ANO</v>
      </c>
    </row>
    <row r="11" spans="1:8" ht="15.95" customHeight="1">
      <c r="A11" s="543">
        <f>CONCATENATE("7.",IF(MONTH(A9)&lt;12,MONTH(A9)+1,MONTH(A9)-11),".",IF(MONTH(A9)&gt;11,YEAR(A9)+1,YEAR(A9)))+1</f>
        <v>45785</v>
      </c>
      <c r="B11" s="550">
        <v>0</v>
      </c>
      <c r="C11" s="550">
        <v>0</v>
      </c>
      <c r="D11" s="551">
        <v>0</v>
      </c>
      <c r="E11" s="265">
        <f>IF(OR(EXACT(+VZP!AV3,"X"),EXACT(VZP!AV3,"x"),EXACT('Ostatní ZP'!AV3,"X"),EXACT('Ostatní ZP'!AV3,"x")),'Ostatní ZP'!AJ49,VZP!AJ49)</f>
        <v>3193</v>
      </c>
      <c r="G11" s="556" t="str">
        <f t="shared" si="0"/>
        <v>ANO</v>
      </c>
    </row>
    <row r="12" spans="1:8" ht="15.95" customHeight="1">
      <c r="A12" s="543">
        <f>CONCATENATE("1.",IF(MONTH(A11)&lt;12,MONTH(A11)+1,MONTH(A11)-11),".",IF(MONTH(A11)&gt;11,YEAR(A11)+1,YEAR(A11)))-1</f>
        <v>45808</v>
      </c>
      <c r="B12" s="550">
        <v>0</v>
      </c>
      <c r="C12" s="550">
        <f>+'SP2'!S9</f>
        <v>3399</v>
      </c>
      <c r="D12" s="551">
        <f>+'SP2'!AH9</f>
        <v>357</v>
      </c>
      <c r="E12" s="265">
        <v>0</v>
      </c>
      <c r="G12" s="556" t="str">
        <f t="shared" si="0"/>
        <v>ANO</v>
      </c>
    </row>
    <row r="13" spans="1:8" ht="15.95" customHeight="1">
      <c r="A13" s="543">
        <f>CONCATENATE("7.",IF(MONTH(A11)&lt;12,MONTH(A11)+1,MONTH(A11)-11),".",IF(MONTH(A11)&gt;11,YEAR(A11)+1,YEAR(A11)))+1</f>
        <v>45816</v>
      </c>
      <c r="B13" s="550">
        <v>0</v>
      </c>
      <c r="C13" s="550">
        <v>0</v>
      </c>
      <c r="D13" s="550">
        <v>0</v>
      </c>
      <c r="E13" s="265">
        <f>E11</f>
        <v>3193</v>
      </c>
      <c r="G13" s="556" t="str">
        <f t="shared" si="0"/>
        <v>ANO</v>
      </c>
    </row>
    <row r="14" spans="1:8" ht="15.95" customHeight="1">
      <c r="A14" s="543">
        <f>CONCATENATE("14.",IF(OR(MONTH(A9)=4,MONTH(A9)=7),MONTH(A9)+2,MONTH(A9)+1),".",IF(MONTH(A9)&gt;9,YEAR(A9)+1,YEAR(A9)))+1</f>
        <v>45823</v>
      </c>
      <c r="B14" s="591">
        <f>CEILING(IF(OR(MONTH($C$6)=5,MONTH($C$6)=4),+IF($C$5&gt;150000,INT($C$5/4/100+0.99)*100,0)+IF($C$5&gt;30000,INT($C$5*0.4/100+0.99)*100,0)*IF($C$5&gt;150000,0,1),+IF($C$5&gt;150000,INT($C$5/4/100+0.99)*100,0))*A100,100)</f>
        <v>0</v>
      </c>
      <c r="C14" s="550">
        <v>0</v>
      </c>
      <c r="D14" s="550">
        <v>0</v>
      </c>
      <c r="E14" s="265">
        <v>0</v>
      </c>
      <c r="G14" s="556" t="str">
        <f t="shared" si="0"/>
        <v>NE</v>
      </c>
    </row>
    <row r="15" spans="1:8" ht="15.95" customHeight="1">
      <c r="A15" s="543">
        <f>CONCATENATE("1.",IF(MONTH(A14)&lt;12,MONTH(A14)+1,MONTH(A14)-11),".",IF(MONTH(A14)&gt;11,YEAR(A14)+1,YEAR(A14)))-1</f>
        <v>45838</v>
      </c>
      <c r="B15" s="550">
        <v>0</v>
      </c>
      <c r="C15" s="550">
        <f>+C12</f>
        <v>3399</v>
      </c>
      <c r="D15" s="550">
        <f>+D12</f>
        <v>357</v>
      </c>
      <c r="E15" s="265">
        <v>0</v>
      </c>
      <c r="G15" s="556" t="str">
        <f t="shared" si="0"/>
        <v>ANO</v>
      </c>
    </row>
    <row r="16" spans="1:8" ht="15.95" customHeight="1">
      <c r="A16" s="543">
        <f>CONCATENATE("7.",IF(MONTH(A14)&lt;12,MONTH(A14)+1,MONTH(A14)-11),".",IF(MONTH(A14)&gt;11,YEAR(A14)+1,YEAR(A14)))+1</f>
        <v>45846</v>
      </c>
      <c r="B16" s="550">
        <v>0</v>
      </c>
      <c r="C16" s="550">
        <v>0</v>
      </c>
      <c r="D16" s="550">
        <v>0</v>
      </c>
      <c r="E16" s="265">
        <f>+E13</f>
        <v>3193</v>
      </c>
      <c r="G16" s="556" t="str">
        <f t="shared" si="0"/>
        <v>ANO</v>
      </c>
    </row>
    <row r="17" spans="1:7" ht="15.95" customHeight="1">
      <c r="A17" s="543">
        <f>CONCATENATE("1.",IF(MONTH(A16)&lt;12,MONTH(A16)+1,MONTH(A16)-11),".",IF(MONTH(A16)&gt;11,YEAR(A16)+1,YEAR(A16)))-1</f>
        <v>45869</v>
      </c>
      <c r="B17" s="550">
        <v>0</v>
      </c>
      <c r="C17" s="550">
        <f>+C15</f>
        <v>3399</v>
      </c>
      <c r="D17" s="550">
        <f>+D15</f>
        <v>357</v>
      </c>
      <c r="E17" s="265">
        <v>0</v>
      </c>
      <c r="G17" s="556" t="str">
        <f t="shared" si="0"/>
        <v>ANO</v>
      </c>
    </row>
    <row r="18" spans="1:7" ht="15.95" customHeight="1">
      <c r="A18" s="543">
        <f>CONCATENATE("7.",IF(MONTH(A16)&lt;12,MONTH(A16)+1,MONTH(A16)-11),".",IF(MONTH(A16)&gt;11,YEAR(A16)+1,YEAR(A16)))+1</f>
        <v>45877</v>
      </c>
      <c r="B18" s="550">
        <v>0</v>
      </c>
      <c r="C18" s="550">
        <v>0</v>
      </c>
      <c r="D18" s="550">
        <v>0</v>
      </c>
      <c r="E18" s="265">
        <f>E16</f>
        <v>3193</v>
      </c>
      <c r="G18" s="556" t="str">
        <f t="shared" si="0"/>
        <v>ANO</v>
      </c>
    </row>
    <row r="19" spans="1:7" ht="15.95" customHeight="1">
      <c r="A19" s="543">
        <f>CONCATENATE("1.",IF(MONTH(A18)&lt;12,MONTH(A18)+1,MONTH(A18)-11),".",IF(MONTH(A18)&gt;11,YEAR(A18)+1,YEAR(A18)))-1</f>
        <v>45900</v>
      </c>
      <c r="B19" s="550">
        <v>0</v>
      </c>
      <c r="C19" s="550">
        <f>+C17</f>
        <v>3399</v>
      </c>
      <c r="D19" s="550">
        <f>+D17</f>
        <v>357</v>
      </c>
      <c r="E19" s="265">
        <v>0</v>
      </c>
      <c r="G19" s="556" t="str">
        <f t="shared" si="0"/>
        <v>ANO</v>
      </c>
    </row>
    <row r="20" spans="1:7" ht="15.95" customHeight="1">
      <c r="A20" s="543">
        <f>CONCATENATE("7.",IF(MONTH(A18)&lt;12,MONTH(A18)+1,MONTH(A18)-11),".",IF(MONTH(A18)&gt;11,YEAR(A18)+1,YEAR(A18)))+1</f>
        <v>45908</v>
      </c>
      <c r="B20" s="550">
        <v>0</v>
      </c>
      <c r="C20" s="550">
        <v>0</v>
      </c>
      <c r="D20" s="550">
        <v>0</v>
      </c>
      <c r="E20" s="265">
        <f>+E18</f>
        <v>3193</v>
      </c>
      <c r="G20" s="556" t="str">
        <f t="shared" si="0"/>
        <v>ANO</v>
      </c>
    </row>
    <row r="21" spans="1:7" ht="15.95" customHeight="1">
      <c r="A21" s="545">
        <f>CONCATENATE("14.",IF(MONTH(A14)&gt;9,MONTH(A14)-9,MONTH(A14)+3),".",IF(MONTH(A14)&gt;9,YEAR(A14)+1,YEAR(A14)))+1</f>
        <v>45915</v>
      </c>
      <c r="B21" s="591">
        <f>CEILING(IF(OR(MONTH($C$6)=7),+IF($C$5&gt;150000,INT($C$5/4/100+0.99)*100,0)+IF($C$5&gt;30000,INT($C$5*0.4/100+0.99)*100,0)*IF($C$5&gt;150000,0,1),+IF($C$5&gt;150000,INT($C$5/4/100+0.99)*100,0))*A100,100)</f>
        <v>0</v>
      </c>
      <c r="C21" s="550">
        <v>0</v>
      </c>
      <c r="D21" s="550">
        <v>0</v>
      </c>
      <c r="E21" s="265">
        <v>0</v>
      </c>
      <c r="G21" s="556" t="str">
        <f t="shared" si="0"/>
        <v>NE</v>
      </c>
    </row>
    <row r="22" spans="1:7" ht="15.95" customHeight="1">
      <c r="A22" s="543">
        <f>CONCATENATE("1.",IF(MONTH(A21)&lt;12,MONTH(A21)+1,MONTH(A21)-11),".",IF(MONTH(A21)&gt;11,YEAR(A21)+1,YEAR(A21)))-1</f>
        <v>45930</v>
      </c>
      <c r="B22" s="550">
        <v>0</v>
      </c>
      <c r="C22" s="550">
        <f>+C19</f>
        <v>3399</v>
      </c>
      <c r="D22" s="550">
        <f>+D19</f>
        <v>357</v>
      </c>
      <c r="E22" s="265">
        <v>0</v>
      </c>
      <c r="G22" s="556" t="str">
        <f t="shared" si="0"/>
        <v>ANO</v>
      </c>
    </row>
    <row r="23" spans="1:7" ht="15.95" customHeight="1">
      <c r="A23" s="543">
        <f>CONCATENATE("7.",IF(MONTH(A21)&lt;12,MONTH(A21)+1,MONTH(A21)-11),".",IF(MONTH(A21)&gt;11,YEAR(A21)+1,YEAR(A21)))+1</f>
        <v>45938</v>
      </c>
      <c r="B23" s="550">
        <v>0</v>
      </c>
      <c r="C23" s="550">
        <v>0</v>
      </c>
      <c r="D23" s="550">
        <v>0</v>
      </c>
      <c r="E23" s="265">
        <f>E20</f>
        <v>3193</v>
      </c>
      <c r="G23" s="556" t="str">
        <f t="shared" si="0"/>
        <v>ANO</v>
      </c>
    </row>
    <row r="24" spans="1:7" ht="15.95" customHeight="1">
      <c r="A24" s="543">
        <f>CONCATENATE("1.",IF(MONTH(A23)&lt;12,MONTH(A23)+1,MONTH(A23)-11),".",IF(MONTH(A23)&gt;11,YEAR(A23)+1,YEAR(A23)))-1</f>
        <v>45961</v>
      </c>
      <c r="B24" s="550">
        <v>0</v>
      </c>
      <c r="C24" s="550">
        <f>+C22</f>
        <v>3399</v>
      </c>
      <c r="D24" s="550">
        <f>+D22</f>
        <v>357</v>
      </c>
      <c r="E24" s="265">
        <v>0</v>
      </c>
      <c r="G24" s="556" t="str">
        <f t="shared" si="0"/>
        <v>ANO</v>
      </c>
    </row>
    <row r="25" spans="1:7" ht="15.95" customHeight="1">
      <c r="A25" s="543">
        <f>CONCATENATE("7.",IF(MONTH(A23)&lt;12,MONTH(A23)+1,MONTH(A23)-11),".",IF(MONTH(A23)&gt;11,YEAR(A23)+1,YEAR(A23)))+1</f>
        <v>45969</v>
      </c>
      <c r="B25" s="550">
        <v>0</v>
      </c>
      <c r="C25" s="550">
        <v>0</v>
      </c>
      <c r="D25" s="550">
        <v>0</v>
      </c>
      <c r="E25" s="265">
        <f>E23</f>
        <v>3193</v>
      </c>
      <c r="G25" s="556" t="str">
        <f t="shared" si="0"/>
        <v>ANO</v>
      </c>
    </row>
    <row r="26" spans="1:7" ht="15.95" customHeight="1">
      <c r="A26" s="543">
        <f>CONCATENATE("1.",IF(MONTH(A25)&lt;12,MONTH(A25)+1,MONTH(A25)-11),".",IF(MONTH(A25)&gt;11,YEAR(A25)+1,YEAR(A25)))-1</f>
        <v>45991</v>
      </c>
      <c r="B26" s="550">
        <v>0</v>
      </c>
      <c r="C26" s="550">
        <f>+C24</f>
        <v>3399</v>
      </c>
      <c r="D26" s="550">
        <f>+D24</f>
        <v>357</v>
      </c>
      <c r="E26" s="265">
        <v>0</v>
      </c>
      <c r="G26" s="556" t="str">
        <f t="shared" si="0"/>
        <v>ANO</v>
      </c>
    </row>
    <row r="27" spans="1:7" ht="15.95" customHeight="1">
      <c r="A27" s="543">
        <f>CONCATENATE("7.",IF(MONTH(A25)&lt;12,MONTH(A25)+1,MONTH(A25)-11),".",IF(MONTH(A25)&gt;11,YEAR(A25)+1,YEAR(A25)))+1</f>
        <v>45999</v>
      </c>
      <c r="B27" s="550">
        <v>0</v>
      </c>
      <c r="C27" s="550">
        <v>0</v>
      </c>
      <c r="D27" s="550">
        <v>0</v>
      </c>
      <c r="E27" s="265">
        <f>E25</f>
        <v>3193</v>
      </c>
      <c r="G27" s="556" t="str">
        <f t="shared" si="0"/>
        <v>ANO</v>
      </c>
    </row>
    <row r="28" spans="1:7" ht="15.95" customHeight="1">
      <c r="A28" s="545">
        <f>CONCATENATE("14.",IF(MONTH(A21)&gt;9,MONTH(A21)-9,MONTH(A21)+3),".",IF(MONTH(A21)&gt;9,YEAR(A21)+1,YEAR(A21)))+1</f>
        <v>46006</v>
      </c>
      <c r="B28" s="550">
        <f>+B14</f>
        <v>0</v>
      </c>
      <c r="C28" s="550">
        <v>0</v>
      </c>
      <c r="D28" s="550">
        <v>0</v>
      </c>
      <c r="E28" s="265">
        <v>0</v>
      </c>
      <c r="G28" s="556" t="str">
        <f t="shared" si="0"/>
        <v>NE</v>
      </c>
    </row>
    <row r="29" spans="1:7" ht="15.95" customHeight="1">
      <c r="A29" s="543">
        <f>CONCATENATE("1.",IF(MONTH(A28)&lt;12,MONTH(A28)+1,MONTH(A28)-11),".",IF(MONTH(A28)&gt;11,YEAR(A28)+1,YEAR(A28)))-1</f>
        <v>46022</v>
      </c>
      <c r="B29" s="550">
        <v>0</v>
      </c>
      <c r="C29" s="550">
        <f>+C26</f>
        <v>3399</v>
      </c>
      <c r="D29" s="550">
        <f>+D26</f>
        <v>357</v>
      </c>
      <c r="E29" s="265">
        <v>0</v>
      </c>
      <c r="G29" s="556" t="str">
        <f t="shared" si="0"/>
        <v>ANO</v>
      </c>
    </row>
    <row r="30" spans="1:7" ht="15.95" customHeight="1">
      <c r="A30" s="543">
        <f>CONCATENATE("7.",IF(MONTH(A28)&lt;12,MONTH(A28)+1,MONTH(A28)-11),".",IF(MONTH(A28)&gt;11,YEAR(A28)+1,YEAR(A28)))+1</f>
        <v>46030</v>
      </c>
      <c r="B30" s="552">
        <v>0</v>
      </c>
      <c r="C30" s="550">
        <v>0</v>
      </c>
      <c r="D30" s="550">
        <v>0</v>
      </c>
      <c r="E30" s="265">
        <f>E27</f>
        <v>3193</v>
      </c>
      <c r="G30" s="556" t="str">
        <f t="shared" si="0"/>
        <v>ANO</v>
      </c>
    </row>
    <row r="31" spans="1:7" ht="15.95" customHeight="1">
      <c r="A31" s="543">
        <f>CONCATENATE("1.",IF(MONTH(A30)&lt;12,MONTH(A30)+1,MONTH(A30)-11),".",IF(MONTH(A30)&gt;11,YEAR(A30)+1,YEAR(A30)))-1</f>
        <v>46053</v>
      </c>
      <c r="B31" s="552">
        <v>0</v>
      </c>
      <c r="C31" s="550">
        <f>+C29</f>
        <v>3399</v>
      </c>
      <c r="D31" s="550">
        <f>+D29</f>
        <v>357</v>
      </c>
      <c r="E31" s="265">
        <v>0</v>
      </c>
      <c r="G31" s="556" t="str">
        <f t="shared" si="0"/>
        <v>ANO</v>
      </c>
    </row>
    <row r="32" spans="1:7" ht="15.95" customHeight="1">
      <c r="A32" s="543">
        <f>CONCATENATE("7.",IF(MONTH(A30)&lt;12,MONTH(A30)+1,MONTH(A30)-11),".",IF(MONTH(A30)&gt;11,YEAR(A30)+1,YEAR(A30)))+1</f>
        <v>46061</v>
      </c>
      <c r="B32" s="552">
        <v>0</v>
      </c>
      <c r="C32" s="550">
        <v>0</v>
      </c>
      <c r="D32" s="550">
        <v>0</v>
      </c>
      <c r="E32" s="265">
        <f>E30</f>
        <v>3193</v>
      </c>
      <c r="G32" s="556" t="str">
        <f t="shared" si="0"/>
        <v>ANO</v>
      </c>
    </row>
    <row r="33" spans="1:7" ht="15.95" customHeight="1">
      <c r="A33" s="543">
        <f>CONCATENATE("1.",IF(MONTH(A32)&lt;12,MONTH(A32)+1,MONTH(A32)-11),".",IF(MONTH(A32)&gt;11,YEAR(A32)+1,YEAR(A32)))-1</f>
        <v>46081</v>
      </c>
      <c r="B33" s="552">
        <v>0</v>
      </c>
      <c r="C33" s="550">
        <f>+C31</f>
        <v>3399</v>
      </c>
      <c r="D33" s="550">
        <f>+D31</f>
        <v>357</v>
      </c>
      <c r="E33" s="265">
        <v>0</v>
      </c>
      <c r="G33" s="556" t="str">
        <f t="shared" si="0"/>
        <v>ANO</v>
      </c>
    </row>
    <row r="34" spans="1:7" ht="15.95" customHeight="1">
      <c r="A34" s="543">
        <f>CONCATENATE("7.",IF(MONTH(A32)&lt;12,MONTH(A32)+1,MONTH(A32)-11),".",IF(MONTH(A32)&gt;11,YEAR(A32)+1,YEAR(A32)))+1</f>
        <v>46089</v>
      </c>
      <c r="B34" s="552">
        <v>0</v>
      </c>
      <c r="C34" s="550">
        <v>0</v>
      </c>
      <c r="D34" s="550">
        <v>0</v>
      </c>
      <c r="E34" s="265">
        <f>E32</f>
        <v>3193</v>
      </c>
      <c r="G34" s="556" t="str">
        <f t="shared" si="0"/>
        <v>ANO</v>
      </c>
    </row>
    <row r="35" spans="1:7" ht="15.95" customHeight="1">
      <c r="A35" s="545">
        <f>CONCATENATE("14.",IF(MONTH(A28)&gt;9,MONTH(A28)-9,MONTH(A28)+3),".",IF(MONTH(A28)&gt;9,YEAR(A28)+1,YEAR(A28)))+1</f>
        <v>46096</v>
      </c>
      <c r="B35" s="550">
        <f>+B21</f>
        <v>0</v>
      </c>
      <c r="C35" s="550">
        <v>0</v>
      </c>
      <c r="D35" s="550">
        <v>0</v>
      </c>
      <c r="E35" s="265">
        <v>0</v>
      </c>
      <c r="G35" s="556" t="str">
        <f t="shared" si="0"/>
        <v>NE</v>
      </c>
    </row>
    <row r="36" spans="1:7" ht="15.95" customHeight="1">
      <c r="A36" s="543">
        <f>CONCATENATE("1.",IF(MONTH(A35)&lt;12,MONTH(A35)+1,MONTH(A35)-11),".",IF(MONTH(A35)&gt;11,YEAR(A35)+1,YEAR(A35)))-1</f>
        <v>46112</v>
      </c>
      <c r="B36" s="550">
        <v>0</v>
      </c>
      <c r="C36" s="550">
        <f>+C33</f>
        <v>3399</v>
      </c>
      <c r="D36" s="550">
        <f>+D33</f>
        <v>357</v>
      </c>
      <c r="E36" s="265">
        <v>0</v>
      </c>
      <c r="G36" s="556" t="str">
        <f t="shared" si="0"/>
        <v>ANO</v>
      </c>
    </row>
    <row r="37" spans="1:7" ht="15.95" customHeight="1">
      <c r="A37" s="543">
        <f>CONCATENATE("7.",IF(MONTH(A35)&lt;12,MONTH(A35)+1,MONTH(A35)-11),".",IF(MONTH(A35)&gt;11,YEAR(A35)+1,YEAR(A35)))+1</f>
        <v>46120</v>
      </c>
      <c r="B37" s="552">
        <v>0</v>
      </c>
      <c r="C37" s="550">
        <v>0</v>
      </c>
      <c r="D37" s="550">
        <v>0</v>
      </c>
      <c r="E37" s="265">
        <f>E34</f>
        <v>3193</v>
      </c>
      <c r="G37" s="556" t="str">
        <f t="shared" si="0"/>
        <v>ANO</v>
      </c>
    </row>
    <row r="38" spans="1:7" ht="15.95" customHeight="1">
      <c r="A38" s="543">
        <f>CONCATENATE("1.",IF(MONTH(A37)&lt;12,MONTH(A37)+1,MONTH(A37)-11),".",IF(MONTH(A37)&gt;11,YEAR(A37)+1,YEAR(A37)))-1</f>
        <v>46142</v>
      </c>
      <c r="B38" s="552">
        <v>0</v>
      </c>
      <c r="C38" s="550">
        <f>+C36</f>
        <v>3399</v>
      </c>
      <c r="D38" s="550">
        <f>+D36</f>
        <v>357</v>
      </c>
      <c r="E38" s="265">
        <v>0</v>
      </c>
      <c r="G38" s="556" t="str">
        <f t="shared" si="0"/>
        <v>ANO</v>
      </c>
    </row>
    <row r="39" spans="1:7" ht="15.95" customHeight="1">
      <c r="A39" s="543">
        <f>CONCATENATE("7.",IF(MONTH(A37)&lt;12,MONTH(A37)+1,MONTH(A37)-11),".",IF(MONTH(A37)&gt;11,YEAR(A37)+1,YEAR(A37)))+1</f>
        <v>46150</v>
      </c>
      <c r="B39" s="552">
        <v>0</v>
      </c>
      <c r="C39" s="550">
        <v>0</v>
      </c>
      <c r="D39" s="550">
        <v>0</v>
      </c>
      <c r="E39" s="265">
        <f>E37</f>
        <v>3193</v>
      </c>
      <c r="G39" s="556" t="str">
        <f t="shared" si="0"/>
        <v>ANO</v>
      </c>
    </row>
    <row r="40" spans="1:7" ht="15.95" customHeight="1">
      <c r="A40" s="543">
        <f>CONCATENATE("1.",IF(MONTH(A39)&lt;12,MONTH(A39)+1,MONTH(A39)-11),".",IF(MONTH(A39)&gt;11,YEAR(A39)+1,YEAR(A39)))-1</f>
        <v>46173</v>
      </c>
      <c r="B40" s="552">
        <v>0</v>
      </c>
      <c r="C40" s="550">
        <f>+C38</f>
        <v>3399</v>
      </c>
      <c r="D40" s="550">
        <f>+D38</f>
        <v>357</v>
      </c>
      <c r="E40" s="265">
        <v>0</v>
      </c>
      <c r="G40" s="556" t="str">
        <f t="shared" si="0"/>
        <v>ANO</v>
      </c>
    </row>
    <row r="41" spans="1:7" ht="15.95" customHeight="1">
      <c r="A41" s="543">
        <f>CONCATENATE("7.",IF(MONTH(A39)&lt;12,MONTH(A39)+1,MONTH(A39)-11),".",IF(MONTH(A39)&gt;11,YEAR(A39)+1,YEAR(A39)))+1</f>
        <v>46181</v>
      </c>
      <c r="B41" s="552">
        <v>0</v>
      </c>
      <c r="C41" s="550">
        <v>0</v>
      </c>
      <c r="D41" s="550">
        <v>0</v>
      </c>
      <c r="E41" s="265">
        <f>E39</f>
        <v>3193</v>
      </c>
      <c r="G41" s="556" t="str">
        <f t="shared" si="0"/>
        <v>ANO</v>
      </c>
    </row>
    <row r="42" spans="1:7" ht="15.95" customHeight="1">
      <c r="A42" s="545">
        <f>CONCATENATE("14.",IF(MONTH(A35)&gt;9,MONTH(A35)-9,MONTH(A35)+3),".",IF(MONTH(A35)&gt;9,YEAR(A35)+1,YEAR(A35)))+1</f>
        <v>46188</v>
      </c>
      <c r="B42" s="550">
        <f>+B28</f>
        <v>0</v>
      </c>
      <c r="C42" s="550">
        <v>0</v>
      </c>
      <c r="D42" s="550">
        <v>0</v>
      </c>
      <c r="E42" s="265">
        <v>0</v>
      </c>
      <c r="G42" s="556" t="str">
        <f t="shared" si="0"/>
        <v>NE</v>
      </c>
    </row>
    <row r="43" spans="1:7" ht="15.95" customHeight="1" thickBot="1">
      <c r="A43" s="553">
        <f>CONCATENATE("1.",IF(MONTH(A42)&lt;12,MONTH(A42)+1,MONTH(A42)-11),".",IF(MONTH(A42)&gt;11,YEAR(A42)+1,YEAR(A42)))-1</f>
        <v>46203</v>
      </c>
      <c r="B43" s="554">
        <v>0</v>
      </c>
      <c r="C43" s="218">
        <f>+C40</f>
        <v>3399</v>
      </c>
      <c r="D43" s="218">
        <f>+D40</f>
        <v>357</v>
      </c>
      <c r="E43" s="219">
        <v>0</v>
      </c>
      <c r="G43" s="556" t="str">
        <f t="shared" si="0"/>
        <v>ANO</v>
      </c>
    </row>
    <row r="44" spans="1:7" ht="21.95" customHeight="1">
      <c r="A44" s="2326" t="s">
        <v>3821</v>
      </c>
      <c r="B44" s="2326"/>
      <c r="C44" s="1161"/>
      <c r="D44" s="1161"/>
      <c r="E44" s="1161"/>
      <c r="G44" s="556" t="s">
        <v>3827</v>
      </c>
    </row>
    <row r="45" spans="1:7" ht="33" customHeight="1">
      <c r="A45" s="2326" t="s">
        <v>3822</v>
      </c>
      <c r="B45" s="2326"/>
      <c r="C45" s="1161"/>
      <c r="D45" s="1161"/>
      <c r="E45" s="1161"/>
      <c r="G45" s="556" t="s">
        <v>3827</v>
      </c>
    </row>
    <row r="46" spans="1:7" ht="21.95" customHeight="1">
      <c r="A46" s="2326" t="s">
        <v>3823</v>
      </c>
      <c r="B46" s="2326"/>
      <c r="C46" s="1161"/>
      <c r="D46" s="1161"/>
      <c r="E46" s="1161"/>
      <c r="G46" s="556" t="s">
        <v>3827</v>
      </c>
    </row>
    <row r="47" spans="1:7" ht="21.95" customHeight="1">
      <c r="A47" s="2326" t="s">
        <v>3829</v>
      </c>
      <c r="B47" s="2326"/>
      <c r="C47" s="1161"/>
      <c r="D47" s="1161"/>
      <c r="E47" s="1161"/>
      <c r="G47" s="556" t="s">
        <v>3827</v>
      </c>
    </row>
    <row r="48" spans="1:7" ht="21.95" customHeight="1">
      <c r="A48" s="2326" t="s">
        <v>3830</v>
      </c>
      <c r="B48" s="2326"/>
      <c r="C48" s="1161"/>
      <c r="D48" s="1161"/>
      <c r="E48" s="1161"/>
      <c r="G48" s="556" t="s">
        <v>3827</v>
      </c>
    </row>
    <row r="49" spans="1:7" ht="33" customHeight="1">
      <c r="A49" s="2324" t="s">
        <v>3828</v>
      </c>
      <c r="B49" s="2325"/>
      <c r="C49" s="2325"/>
      <c r="D49" s="2325"/>
      <c r="E49" s="2325"/>
      <c r="G49" s="556"/>
    </row>
    <row r="50" spans="1:7" ht="15.95" customHeight="1">
      <c r="A50" s="2327" t="s">
        <v>3824</v>
      </c>
      <c r="B50" s="2327"/>
      <c r="C50" s="2328"/>
      <c r="D50" s="2328"/>
      <c r="E50" s="2328"/>
      <c r="G50" s="556" t="s">
        <v>3827</v>
      </c>
    </row>
    <row r="51" spans="1:7" ht="15.95" customHeight="1">
      <c r="A51" s="2329" t="str">
        <f>+'DAP1'!A46</f>
        <v>Formulář zpracovala ASPEKT HM, daňová, účetní a auditorská kancelář, www.danovapriznani.cz, business.center.cz</v>
      </c>
      <c r="B51" s="2330"/>
      <c r="C51" s="2330"/>
      <c r="D51" s="2330"/>
      <c r="E51" s="2330"/>
      <c r="G51" s="556" t="s">
        <v>3827</v>
      </c>
    </row>
    <row r="52" spans="1:7">
      <c r="A52" s="24"/>
      <c r="B52" s="20"/>
      <c r="C52" s="20"/>
      <c r="D52" s="20"/>
      <c r="E52" s="20"/>
    </row>
    <row r="53" spans="1:7">
      <c r="A53" s="24"/>
      <c r="B53" s="20"/>
      <c r="C53" s="20"/>
      <c r="D53" s="20"/>
      <c r="E53" s="20"/>
    </row>
    <row r="54" spans="1:7">
      <c r="A54" s="24"/>
      <c r="B54" s="20"/>
      <c r="C54" s="20"/>
      <c r="D54" s="20"/>
      <c r="E54" s="20"/>
    </row>
    <row r="55" spans="1:7">
      <c r="A55" s="20"/>
      <c r="B55" s="20"/>
      <c r="C55" s="20"/>
      <c r="D55" s="20"/>
      <c r="E55" s="20"/>
    </row>
    <row r="56" spans="1:7">
      <c r="A56" s="20"/>
      <c r="B56" s="20"/>
      <c r="C56" s="20"/>
      <c r="D56" s="20"/>
      <c r="E56" s="20"/>
    </row>
    <row r="57" spans="1:7">
      <c r="A57" s="20"/>
      <c r="B57" s="20"/>
      <c r="C57" s="20"/>
      <c r="D57" s="20"/>
      <c r="E57" s="20"/>
    </row>
    <row r="58" spans="1:7">
      <c r="A58" s="20"/>
      <c r="B58" s="20"/>
      <c r="C58" s="20"/>
      <c r="D58" s="20"/>
      <c r="E58" s="20"/>
    </row>
    <row r="59" spans="1:7">
      <c r="A59" s="20"/>
      <c r="B59" s="20"/>
      <c r="C59" s="20"/>
      <c r="D59" s="20"/>
      <c r="E59" s="20"/>
    </row>
    <row r="60" spans="1:7" hidden="1">
      <c r="A60" s="542" t="s">
        <v>246</v>
      </c>
      <c r="B60" s="20"/>
      <c r="C60" s="20"/>
      <c r="D60" s="20"/>
      <c r="E60" s="20"/>
    </row>
    <row r="61" spans="1:7">
      <c r="A61" s="20"/>
      <c r="B61" s="20"/>
      <c r="C61" s="20"/>
      <c r="D61" s="20"/>
      <c r="E61" s="20"/>
    </row>
    <row r="62" spans="1:7">
      <c r="A62" s="20"/>
      <c r="B62" s="20"/>
      <c r="C62" s="20"/>
      <c r="D62" s="20"/>
      <c r="E62" s="20"/>
    </row>
    <row r="63" spans="1:7">
      <c r="A63" s="20"/>
      <c r="B63" s="20"/>
      <c r="C63" s="20"/>
      <c r="D63" s="20"/>
      <c r="E63" s="20"/>
    </row>
    <row r="64" spans="1:7">
      <c r="A64" s="20"/>
      <c r="B64" s="20"/>
      <c r="C64" s="20"/>
      <c r="D64" s="20"/>
      <c r="E64" s="20"/>
    </row>
    <row r="65" spans="1:5">
      <c r="A65" s="20"/>
      <c r="B65" s="20"/>
      <c r="C65" s="20"/>
      <c r="D65" s="20"/>
      <c r="E65" s="20"/>
    </row>
    <row r="66" spans="1:5">
      <c r="A66" s="20"/>
      <c r="B66" s="20"/>
      <c r="C66" s="20"/>
      <c r="D66" s="20"/>
      <c r="E66" s="20"/>
    </row>
    <row r="67" spans="1:5">
      <c r="A67" s="20"/>
      <c r="B67" s="20"/>
      <c r="C67" s="20"/>
      <c r="D67" s="20"/>
      <c r="E67" s="20"/>
    </row>
    <row r="68" spans="1:5">
      <c r="A68" s="20"/>
      <c r="B68" s="20"/>
      <c r="C68" s="20"/>
      <c r="D68" s="20"/>
      <c r="E68" s="20"/>
    </row>
    <row r="69" spans="1:5">
      <c r="A69" s="20"/>
      <c r="B69" s="20"/>
      <c r="C69" s="20"/>
      <c r="D69" s="20"/>
      <c r="E69" s="20"/>
    </row>
    <row r="70" spans="1:5">
      <c r="A70" s="20"/>
      <c r="B70" s="20"/>
      <c r="C70" s="20"/>
      <c r="D70" s="20"/>
      <c r="E70" s="20"/>
    </row>
    <row r="71" spans="1:5">
      <c r="A71" s="20"/>
      <c r="B71" s="20"/>
      <c r="C71" s="20"/>
      <c r="D71" s="20"/>
      <c r="E71" s="20"/>
    </row>
    <row r="72" spans="1:5">
      <c r="A72" s="20"/>
      <c r="B72" s="20"/>
      <c r="C72" s="20"/>
      <c r="D72" s="20"/>
      <c r="E72" s="20"/>
    </row>
    <row r="73" spans="1:5">
      <c r="A73" s="20"/>
      <c r="B73" s="20"/>
      <c r="C73" s="20"/>
      <c r="D73" s="20"/>
      <c r="E73" s="20"/>
    </row>
    <row r="74" spans="1:5">
      <c r="A74" s="20"/>
      <c r="B74" s="20"/>
      <c r="C74" s="20"/>
      <c r="D74" s="20"/>
      <c r="E74" s="20"/>
    </row>
    <row r="75" spans="1:5">
      <c r="A75" s="20"/>
      <c r="B75" s="20"/>
      <c r="C75" s="20"/>
      <c r="D75" s="20"/>
      <c r="E75" s="20"/>
    </row>
    <row r="76" spans="1:5">
      <c r="A76" s="20"/>
      <c r="B76" s="20"/>
      <c r="C76" s="20"/>
      <c r="D76" s="20"/>
      <c r="E76" s="20"/>
    </row>
    <row r="77" spans="1:5">
      <c r="A77" s="20"/>
      <c r="B77" s="20"/>
      <c r="C77" s="20"/>
      <c r="D77" s="20"/>
      <c r="E77" s="20"/>
    </row>
    <row r="78" spans="1:5">
      <c r="A78" s="20"/>
      <c r="B78" s="20"/>
      <c r="C78" s="20"/>
      <c r="D78" s="20"/>
      <c r="E78" s="20"/>
    </row>
    <row r="79" spans="1:5">
      <c r="A79" s="20"/>
      <c r="B79" s="20"/>
      <c r="C79" s="20"/>
      <c r="D79" s="20"/>
      <c r="E79" s="20"/>
    </row>
    <row r="80" spans="1:5">
      <c r="A80" s="20"/>
      <c r="B80" s="20"/>
      <c r="C80" s="20"/>
      <c r="D80" s="20"/>
      <c r="E80" s="20"/>
    </row>
    <row r="81" spans="1:5">
      <c r="A81" s="20"/>
      <c r="B81" s="20"/>
      <c r="C81" s="20"/>
      <c r="D81" s="20"/>
      <c r="E81" s="20"/>
    </row>
    <row r="82" spans="1:5">
      <c r="A82" s="20"/>
      <c r="B82" s="20"/>
      <c r="C82" s="20"/>
      <c r="D82" s="20"/>
      <c r="E82" s="20"/>
    </row>
    <row r="83" spans="1:5">
      <c r="A83" s="20"/>
      <c r="B83" s="20"/>
      <c r="C83" s="20"/>
      <c r="D83" s="20"/>
      <c r="E83" s="20"/>
    </row>
    <row r="84" spans="1:5">
      <c r="A84" s="20"/>
      <c r="B84" s="20"/>
      <c r="C84" s="20"/>
      <c r="D84" s="20"/>
      <c r="E84" s="20"/>
    </row>
    <row r="85" spans="1:5">
      <c r="A85" s="20"/>
      <c r="B85" s="20"/>
      <c r="C85" s="20"/>
      <c r="D85" s="20"/>
      <c r="E85" s="20"/>
    </row>
    <row r="86" spans="1:5">
      <c r="A86" s="20"/>
      <c r="B86" s="20"/>
      <c r="C86" s="20"/>
      <c r="D86" s="20"/>
      <c r="E86" s="20"/>
    </row>
    <row r="87" spans="1:5">
      <c r="A87" s="20"/>
      <c r="B87" s="20"/>
      <c r="C87" s="20"/>
      <c r="D87" s="20"/>
      <c r="E87" s="20"/>
    </row>
    <row r="88" spans="1:5">
      <c r="A88" s="20"/>
      <c r="B88" s="20"/>
      <c r="C88" s="20"/>
      <c r="D88" s="20"/>
      <c r="E88" s="20"/>
    </row>
    <row r="89" spans="1:5">
      <c r="A89" s="20"/>
      <c r="B89" s="20"/>
      <c r="C89" s="20"/>
      <c r="D89" s="20"/>
      <c r="E89" s="20"/>
    </row>
    <row r="90" spans="1:5">
      <c r="A90" s="20"/>
      <c r="B90" s="20"/>
      <c r="C90" s="20"/>
      <c r="D90" s="20"/>
      <c r="E90" s="20"/>
    </row>
    <row r="91" spans="1:5">
      <c r="A91" s="20"/>
      <c r="B91" s="20"/>
      <c r="C91" s="20"/>
      <c r="D91" s="20"/>
      <c r="E91" s="20"/>
    </row>
    <row r="92" spans="1:5">
      <c r="A92" s="20"/>
      <c r="B92" s="20"/>
      <c r="C92" s="20"/>
      <c r="D92" s="20"/>
      <c r="E92" s="20"/>
    </row>
    <row r="93" spans="1:5">
      <c r="A93" s="20"/>
      <c r="B93" s="20"/>
      <c r="C93" s="20"/>
      <c r="D93" s="20"/>
      <c r="E93" s="20"/>
    </row>
    <row r="94" spans="1:5">
      <c r="A94" s="20"/>
      <c r="B94" s="20"/>
      <c r="C94" s="20"/>
      <c r="D94" s="20"/>
      <c r="E94" s="20"/>
    </row>
    <row r="95" spans="1:5">
      <c r="A95" s="20"/>
      <c r="B95" s="20"/>
      <c r="C95" s="20"/>
      <c r="D95" s="20"/>
      <c r="E95" s="20"/>
    </row>
    <row r="96" spans="1:5">
      <c r="A96" s="20"/>
      <c r="B96" s="20"/>
      <c r="C96" s="20"/>
      <c r="D96" s="20"/>
      <c r="E96" s="20"/>
    </row>
    <row r="97" spans="1:5">
      <c r="A97" s="20"/>
      <c r="B97" s="20"/>
      <c r="C97" s="20"/>
      <c r="D97" s="20"/>
      <c r="E97" s="20"/>
    </row>
    <row r="98" spans="1:5">
      <c r="A98" s="20"/>
      <c r="B98" s="20"/>
      <c r="C98" s="20"/>
      <c r="D98" s="20"/>
      <c r="E98" s="20"/>
    </row>
    <row r="99" spans="1:5">
      <c r="A99" s="20"/>
      <c r="B99" s="20"/>
      <c r="C99" s="20"/>
      <c r="D99" s="20"/>
      <c r="E99" s="20"/>
    </row>
    <row r="100" spans="1:5" hidden="1">
      <c r="A100" s="20">
        <f>+IF('DAP2'!E10&lt;0.5*'DAP2'!E16,+IF('DAP2'!E10/'DAP2'!E16&gt;0.15,0.5,1),0)</f>
        <v>0</v>
      </c>
      <c r="B100" s="20"/>
      <c r="C100" s="20"/>
      <c r="D100" s="20"/>
      <c r="E100" s="20"/>
    </row>
    <row r="101" spans="1:5">
      <c r="A101" s="20"/>
      <c r="B101" s="20"/>
      <c r="C101" s="20"/>
      <c r="D101" s="20"/>
      <c r="E101" s="20"/>
    </row>
    <row r="102" spans="1:5">
      <c r="A102" s="20"/>
      <c r="B102" s="20"/>
      <c r="C102" s="20"/>
      <c r="D102" s="20"/>
      <c r="E102" s="20"/>
    </row>
    <row r="103" spans="1:5">
      <c r="A103" s="20"/>
      <c r="B103" s="20"/>
      <c r="C103" s="20"/>
      <c r="D103" s="20"/>
      <c r="E103" s="20"/>
    </row>
    <row r="104" spans="1:5">
      <c r="A104" s="20"/>
      <c r="B104" s="20"/>
      <c r="C104" s="20"/>
      <c r="D104" s="20"/>
      <c r="E104" s="20"/>
    </row>
    <row r="105" spans="1:5">
      <c r="A105" s="20"/>
      <c r="B105" s="20"/>
      <c r="C105" s="20"/>
      <c r="D105" s="20"/>
      <c r="E105" s="20"/>
    </row>
    <row r="106" spans="1:5">
      <c r="A106" s="20"/>
      <c r="B106" s="20"/>
      <c r="C106" s="20"/>
      <c r="D106" s="20"/>
      <c r="E106" s="20"/>
    </row>
    <row r="107" spans="1:5">
      <c r="A107" s="20"/>
      <c r="B107" s="20"/>
      <c r="C107" s="20"/>
      <c r="D107" s="20"/>
      <c r="E107" s="20"/>
    </row>
    <row r="108" spans="1:5">
      <c r="A108" s="20"/>
      <c r="B108" s="20"/>
      <c r="C108" s="20"/>
      <c r="D108" s="20"/>
      <c r="E108" s="20"/>
    </row>
    <row r="109" spans="1:5">
      <c r="A109" s="20"/>
      <c r="B109" s="20"/>
      <c r="C109" s="20"/>
      <c r="D109" s="20"/>
      <c r="E109" s="20"/>
    </row>
    <row r="110" spans="1:5">
      <c r="A110" s="20"/>
      <c r="B110" s="20"/>
      <c r="C110" s="20"/>
      <c r="D110" s="20"/>
      <c r="E110" s="20"/>
    </row>
    <row r="111" spans="1:5">
      <c r="A111" s="20"/>
      <c r="B111" s="20"/>
      <c r="C111" s="20"/>
      <c r="D111" s="20"/>
      <c r="E111" s="20"/>
    </row>
    <row r="112" spans="1:5">
      <c r="A112" s="20"/>
      <c r="B112" s="20"/>
      <c r="C112" s="20"/>
      <c r="D112" s="20"/>
      <c r="E112" s="20"/>
    </row>
    <row r="113" spans="1:5">
      <c r="A113" s="20"/>
      <c r="B113" s="20"/>
      <c r="C113" s="20"/>
      <c r="D113" s="20"/>
      <c r="E113" s="20"/>
    </row>
    <row r="114" spans="1:5">
      <c r="A114" s="20"/>
      <c r="B114" s="20"/>
      <c r="C114" s="20"/>
      <c r="D114" s="20"/>
      <c r="E114" s="20"/>
    </row>
    <row r="115" spans="1:5">
      <c r="A115" s="20"/>
      <c r="B115" s="20"/>
      <c r="C115" s="20"/>
      <c r="D115" s="20"/>
      <c r="E115" s="20"/>
    </row>
    <row r="116" spans="1:5">
      <c r="A116" s="20"/>
      <c r="B116" s="20"/>
      <c r="C116" s="20"/>
      <c r="D116" s="20"/>
      <c r="E116" s="20"/>
    </row>
    <row r="117" spans="1:5">
      <c r="A117" s="20"/>
      <c r="B117" s="20"/>
      <c r="C117" s="20"/>
      <c r="D117" s="20"/>
      <c r="E117" s="20"/>
    </row>
    <row r="118" spans="1:5">
      <c r="A118" s="20"/>
      <c r="B118" s="20"/>
      <c r="C118" s="20"/>
      <c r="D118" s="20"/>
      <c r="E118" s="20"/>
    </row>
    <row r="119" spans="1:5">
      <c r="A119" s="20"/>
      <c r="B119" s="20"/>
      <c r="C119" s="20"/>
      <c r="D119" s="20"/>
      <c r="E119" s="20"/>
    </row>
    <row r="120" spans="1:5">
      <c r="A120" s="20"/>
      <c r="B120" s="20"/>
      <c r="C120" s="20"/>
      <c r="D120" s="20"/>
      <c r="E120" s="20"/>
    </row>
    <row r="121" spans="1:5">
      <c r="A121" s="20"/>
      <c r="B121" s="20"/>
      <c r="C121" s="20"/>
      <c r="D121" s="20"/>
      <c r="E121" s="20"/>
    </row>
    <row r="122" spans="1:5">
      <c r="A122" s="20"/>
      <c r="B122" s="20"/>
      <c r="C122" s="20"/>
      <c r="D122" s="20"/>
      <c r="E122" s="20"/>
    </row>
    <row r="123" spans="1:5" s="20" customFormat="1"/>
    <row r="124" spans="1:5" s="20" customFormat="1"/>
    <row r="125" spans="1:5" s="20" customFormat="1"/>
    <row r="126" spans="1:5" s="20" customFormat="1"/>
    <row r="127" spans="1:5" s="20" customFormat="1"/>
    <row r="128" spans="1:5"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sheetData>
  <sheetProtection algorithmName="SHA-512" hashValue="89EEUa9IjpyyDw/IDnuH9e1nNvwGqo1fb7dISo+S9zy80TxxQlorhBLHTY9VCRdf/FXoBKvxEGYXTwMOw7v2MQ==" saltValue="Hk4mWRAUj72tq4uZX+Tc5Q==" spinCount="100000" sheet="1" autoFilter="0"/>
  <autoFilter ref="G8:G51" xr:uid="{00000000-0001-0000-1A00-000000000000}"/>
  <mergeCells count="20">
    <mergeCell ref="A50:E50"/>
    <mergeCell ref="A51:E51"/>
    <mergeCell ref="A1:E1"/>
    <mergeCell ref="A2:E2"/>
    <mergeCell ref="C5:E5"/>
    <mergeCell ref="A3:B3"/>
    <mergeCell ref="A4:B4"/>
    <mergeCell ref="A5:B5"/>
    <mergeCell ref="A6:B6"/>
    <mergeCell ref="C3:E3"/>
    <mergeCell ref="C4:E4"/>
    <mergeCell ref="C6:E6"/>
    <mergeCell ref="A7:E7"/>
    <mergeCell ref="A48:E48"/>
    <mergeCell ref="G6:G7"/>
    <mergeCell ref="A49:E49"/>
    <mergeCell ref="A44:E44"/>
    <mergeCell ref="A45:E45"/>
    <mergeCell ref="A46:E46"/>
    <mergeCell ref="A47:E47"/>
  </mergeCells>
  <phoneticPr fontId="11" type="noConversion"/>
  <printOptions horizontalCentered="1"/>
  <pageMargins left="0.39370078740157483" right="0.39370078740157483" top="0.39370078740157483" bottom="0.39370078740157483" header="0.51181102362204722" footer="0.51181102362204722"/>
  <pageSetup paperSize="9" scale="9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9A41B-F7A3-4FE6-AB91-DACB858C8D7F}">
  <sheetPr codeName="List13">
    <tabColor rgb="FFFFFFCC"/>
    <pageSetUpPr fitToPage="1"/>
  </sheetPr>
  <dimension ref="A1:AP242"/>
  <sheetViews>
    <sheetView workbookViewId="0">
      <selection activeCell="A44" sqref="A44:E44"/>
    </sheetView>
  </sheetViews>
  <sheetFormatPr defaultColWidth="9.140625" defaultRowHeight="12.75"/>
  <cols>
    <col min="1" max="1" width="4" style="301" customWidth="1"/>
    <col min="2" max="2" width="100.7109375" style="301" customWidth="1"/>
    <col min="3" max="42" width="9.140625" style="361"/>
    <col min="43" max="16384" width="9.140625" style="301"/>
  </cols>
  <sheetData>
    <row r="1" spans="1:2" ht="18">
      <c r="A1" s="652" t="s">
        <v>3528</v>
      </c>
      <c r="B1" s="653"/>
    </row>
    <row r="2" spans="1:2">
      <c r="A2" s="368"/>
      <c r="B2" s="368"/>
    </row>
    <row r="3" spans="1:2" ht="30">
      <c r="A3" s="369" t="s">
        <v>129</v>
      </c>
      <c r="B3" s="370" t="s">
        <v>3529</v>
      </c>
    </row>
    <row r="4" spans="1:2" ht="29.25">
      <c r="A4" s="369" t="s">
        <v>130</v>
      </c>
      <c r="B4" s="371" t="s">
        <v>3437</v>
      </c>
    </row>
    <row r="5" spans="1:2" ht="29.25">
      <c r="A5" s="369" t="s">
        <v>131</v>
      </c>
      <c r="B5" s="371" t="s">
        <v>3526</v>
      </c>
    </row>
    <row r="6" spans="1:2" ht="15">
      <c r="A6" s="369"/>
      <c r="B6" s="372" t="s">
        <v>3527</v>
      </c>
    </row>
    <row r="7" spans="1:2" s="361" customFormat="1" ht="15">
      <c r="A7" s="369"/>
      <c r="B7" s="372" t="s">
        <v>3530</v>
      </c>
    </row>
    <row r="8" spans="1:2" s="361" customFormat="1" ht="15">
      <c r="A8" s="369"/>
      <c r="B8" s="371" t="s">
        <v>3531</v>
      </c>
    </row>
    <row r="9" spans="1:2" s="361" customFormat="1" ht="29.25">
      <c r="A9" s="369"/>
      <c r="B9" s="371" t="s">
        <v>3532</v>
      </c>
    </row>
    <row r="10" spans="1:2" s="361" customFormat="1" ht="86.25">
      <c r="A10" s="369"/>
      <c r="B10" s="371" t="s">
        <v>3533</v>
      </c>
    </row>
    <row r="11" spans="1:2" s="361" customFormat="1" ht="29.25">
      <c r="A11" s="369" t="s">
        <v>304</v>
      </c>
      <c r="B11" s="374" t="s">
        <v>3534</v>
      </c>
    </row>
    <row r="12" spans="1:2" s="361" customFormat="1" ht="59.25">
      <c r="A12" s="369" t="s">
        <v>96</v>
      </c>
      <c r="B12" s="371" t="s">
        <v>3535</v>
      </c>
    </row>
    <row r="13" spans="1:2" s="361" customFormat="1" ht="15">
      <c r="A13" s="369" t="s">
        <v>303</v>
      </c>
      <c r="B13" s="371" t="s">
        <v>3895</v>
      </c>
    </row>
    <row r="14" spans="1:2" s="361" customFormat="1" ht="15.75">
      <c r="A14" s="369"/>
      <c r="B14" s="627" t="s">
        <v>3870</v>
      </c>
    </row>
    <row r="15" spans="1:2" s="361" customFormat="1" ht="73.5" customHeight="1">
      <c r="A15" s="369"/>
      <c r="B15" s="371" t="s">
        <v>3896</v>
      </c>
    </row>
    <row r="16" spans="1:2" s="361" customFormat="1" ht="85.5">
      <c r="A16" s="369"/>
      <c r="B16" s="371" t="s">
        <v>3897</v>
      </c>
    </row>
    <row r="17" spans="1:2" s="361" customFormat="1" ht="45" customHeight="1">
      <c r="A17" s="369" t="s">
        <v>302</v>
      </c>
      <c r="B17" s="371" t="s">
        <v>3898</v>
      </c>
    </row>
    <row r="18" spans="1:2" s="361" customFormat="1" ht="15" customHeight="1">
      <c r="A18" s="369"/>
      <c r="B18" s="373" t="s">
        <v>3438</v>
      </c>
    </row>
    <row r="19" spans="1:2" s="361" customFormat="1" ht="14.25">
      <c r="A19" s="369" t="s">
        <v>301</v>
      </c>
      <c r="B19" s="371" t="s">
        <v>3536</v>
      </c>
    </row>
    <row r="20" spans="1:2" s="361" customFormat="1" ht="14.25">
      <c r="A20" s="369"/>
      <c r="B20" s="371" t="s">
        <v>3899</v>
      </c>
    </row>
    <row r="21" spans="1:2" s="361" customFormat="1" ht="14.25">
      <c r="A21" s="369"/>
      <c r="B21" s="371" t="s">
        <v>3876</v>
      </c>
    </row>
    <row r="22" spans="1:2" s="361" customFormat="1">
      <c r="A22" s="368"/>
      <c r="B22" s="368"/>
    </row>
    <row r="23" spans="1:2" s="361" customFormat="1" ht="15.75">
      <c r="A23" s="368"/>
      <c r="B23" s="375" t="s">
        <v>3627</v>
      </c>
    </row>
    <row r="24" spans="1:2" s="361" customFormat="1" ht="14.25">
      <c r="A24" s="368"/>
      <c r="B24" s="376" t="s">
        <v>3439</v>
      </c>
    </row>
    <row r="25" spans="1:2" s="361" customFormat="1" ht="14.25">
      <c r="A25" s="368"/>
      <c r="B25" s="376" t="s">
        <v>3440</v>
      </c>
    </row>
    <row r="26" spans="1:2" s="361" customFormat="1"/>
    <row r="27" spans="1:2" s="361" customFormat="1"/>
    <row r="28" spans="1:2" s="361" customFormat="1"/>
    <row r="29" spans="1:2" s="361" customFormat="1"/>
    <row r="30" spans="1:2" s="361" customFormat="1"/>
    <row r="31" spans="1:2" s="361" customFormat="1"/>
    <row r="32" spans="1:2" s="361" customFormat="1"/>
    <row r="33" s="361" customFormat="1"/>
    <row r="34" s="361" customFormat="1"/>
    <row r="35" s="361" customFormat="1"/>
    <row r="36" s="361" customFormat="1"/>
    <row r="37" s="361" customFormat="1"/>
    <row r="38" s="361" customFormat="1"/>
    <row r="39" s="361" customFormat="1"/>
    <row r="40" s="361" customFormat="1"/>
    <row r="41" s="361" customFormat="1"/>
    <row r="42" s="361" customFormat="1"/>
    <row r="43" s="361" customFormat="1"/>
    <row r="44" s="361" customFormat="1"/>
    <row r="45" s="361" customFormat="1"/>
    <row r="46" s="361" customFormat="1"/>
    <row r="47" s="361" customFormat="1"/>
    <row r="48" s="361" customFormat="1"/>
    <row r="49" s="361" customFormat="1"/>
    <row r="50" s="361" customFormat="1"/>
    <row r="51" s="361" customFormat="1"/>
    <row r="52" s="361" customFormat="1"/>
    <row r="53" s="361" customFormat="1"/>
    <row r="54" s="361" customFormat="1"/>
    <row r="55" s="361" customFormat="1"/>
    <row r="56" s="361" customFormat="1"/>
    <row r="57" s="361" customFormat="1"/>
    <row r="58" s="361" customFormat="1"/>
    <row r="59" s="361" customFormat="1"/>
    <row r="60" s="361" customFormat="1"/>
    <row r="61" s="361" customFormat="1"/>
    <row r="62" s="361" customFormat="1"/>
    <row r="63" s="361" customFormat="1"/>
    <row r="64" s="361" customFormat="1"/>
    <row r="65" s="361" customFormat="1"/>
    <row r="66" s="361" customFormat="1"/>
    <row r="67" s="361" customFormat="1"/>
    <row r="68" s="361" customFormat="1"/>
    <row r="69" s="361" customFormat="1"/>
    <row r="70" s="361" customFormat="1"/>
    <row r="71" s="361" customFormat="1"/>
    <row r="72" s="361" customFormat="1"/>
    <row r="73" s="361" customFormat="1"/>
    <row r="74" s="361" customFormat="1"/>
    <row r="75" s="361" customFormat="1"/>
    <row r="76" s="361" customFormat="1"/>
    <row r="77" s="361" customFormat="1"/>
    <row r="78" s="361" customFormat="1"/>
    <row r="79" s="361" customFormat="1"/>
    <row r="80" s="361" customFormat="1"/>
    <row r="81" s="361" customFormat="1"/>
    <row r="82" s="361" customFormat="1"/>
    <row r="83" s="361" customFormat="1"/>
    <row r="84" s="361" customFormat="1"/>
    <row r="85" s="361" customFormat="1"/>
    <row r="86" s="361" customFormat="1"/>
    <row r="87" s="361" customFormat="1"/>
    <row r="88" s="361" customFormat="1"/>
    <row r="89" s="361" customFormat="1"/>
    <row r="90" s="361" customFormat="1"/>
    <row r="91" s="361" customFormat="1"/>
    <row r="92" s="361" customFormat="1"/>
    <row r="93" s="361" customFormat="1"/>
    <row r="94" s="361" customFormat="1"/>
    <row r="95" s="361" customFormat="1"/>
    <row r="96" s="361" customFormat="1"/>
    <row r="97" s="361" customFormat="1"/>
    <row r="98" s="361" customFormat="1"/>
    <row r="99" s="361" customFormat="1"/>
    <row r="100" s="361" customFormat="1"/>
    <row r="101" s="361" customFormat="1"/>
    <row r="102" s="361" customFormat="1"/>
    <row r="103" s="361" customFormat="1"/>
    <row r="104" s="361" customFormat="1"/>
    <row r="105" s="361" customFormat="1"/>
    <row r="106" s="361" customFormat="1"/>
    <row r="107" s="361" customFormat="1"/>
    <row r="108" s="361" customFormat="1"/>
    <row r="109" s="361" customFormat="1"/>
    <row r="110" s="361" customFormat="1"/>
    <row r="111" s="361" customFormat="1"/>
    <row r="112" s="361" customFormat="1"/>
    <row r="113" s="361" customFormat="1"/>
    <row r="114" s="361" customFormat="1"/>
    <row r="115" s="361" customFormat="1"/>
    <row r="116" s="361" customFormat="1"/>
    <row r="117" s="361" customFormat="1"/>
    <row r="118" s="361" customFormat="1"/>
    <row r="119" s="361" customFormat="1"/>
    <row r="120" s="361" customFormat="1"/>
    <row r="121" s="361" customFormat="1"/>
    <row r="122" s="361" customFormat="1"/>
    <row r="123" s="361" customFormat="1"/>
    <row r="124" s="361" customFormat="1"/>
    <row r="125" s="361" customFormat="1"/>
    <row r="126" s="361" customFormat="1"/>
    <row r="127" s="361" customFormat="1"/>
    <row r="128" s="361" customFormat="1"/>
    <row r="129" s="361" customFormat="1"/>
    <row r="130" s="361" customFormat="1"/>
    <row r="131" s="361" customFormat="1"/>
    <row r="132" s="361" customFormat="1"/>
    <row r="133" s="361" customFormat="1"/>
    <row r="134" s="361" customFormat="1"/>
    <row r="135" s="361" customFormat="1"/>
    <row r="136" s="361" customFormat="1"/>
    <row r="137" s="361" customFormat="1"/>
    <row r="138" s="361" customFormat="1"/>
    <row r="139" s="361" customFormat="1"/>
    <row r="140" s="361" customFormat="1"/>
    <row r="141" s="361" customFormat="1"/>
    <row r="142" s="361" customFormat="1"/>
    <row r="143" s="361" customFormat="1"/>
    <row r="144" s="361" customFormat="1"/>
    <row r="145" s="361" customFormat="1"/>
    <row r="146" s="361" customFormat="1"/>
    <row r="147" s="361" customFormat="1"/>
    <row r="148" s="361" customFormat="1"/>
    <row r="149" s="361" customFormat="1"/>
    <row r="150" s="361" customFormat="1"/>
    <row r="151" s="361" customFormat="1"/>
    <row r="152" s="361" customFormat="1"/>
    <row r="153" s="361" customFormat="1"/>
    <row r="154" s="361" customFormat="1"/>
    <row r="155" s="361" customFormat="1"/>
    <row r="156" s="361" customFormat="1"/>
    <row r="157" s="361" customFormat="1"/>
    <row r="158" s="361" customFormat="1"/>
    <row r="159" s="361" customFormat="1"/>
    <row r="160" s="361" customFormat="1"/>
    <row r="161" s="361" customFormat="1"/>
    <row r="162" s="361" customFormat="1"/>
    <row r="163" s="361" customFormat="1"/>
    <row r="164" s="361" customFormat="1"/>
    <row r="165" s="361" customFormat="1"/>
    <row r="166" s="361" customFormat="1"/>
    <row r="167" s="361" customFormat="1"/>
    <row r="168" s="361" customFormat="1"/>
    <row r="169" s="361" customFormat="1"/>
    <row r="170" s="361" customFormat="1"/>
    <row r="171" s="361" customFormat="1"/>
    <row r="172" s="361" customFormat="1"/>
    <row r="173" s="361" customFormat="1"/>
    <row r="174" s="361" customFormat="1"/>
    <row r="175" s="361" customFormat="1"/>
    <row r="176" s="361" customFormat="1"/>
    <row r="177" s="361" customFormat="1"/>
    <row r="178" s="361" customFormat="1"/>
    <row r="179" s="361" customFormat="1"/>
    <row r="180" s="361" customFormat="1"/>
    <row r="181" s="361" customFormat="1"/>
    <row r="182" s="361" customFormat="1"/>
    <row r="183" s="361" customFormat="1"/>
    <row r="184" s="361" customFormat="1"/>
    <row r="185" s="361" customFormat="1"/>
    <row r="186" s="361" customFormat="1"/>
    <row r="187" s="361" customFormat="1"/>
    <row r="188" s="361" customFormat="1"/>
    <row r="189" s="361" customFormat="1"/>
    <row r="190" s="361" customFormat="1"/>
    <row r="191" s="361" customFormat="1"/>
    <row r="192" s="361" customFormat="1"/>
    <row r="193" s="361" customFormat="1"/>
    <row r="194" s="361" customFormat="1"/>
    <row r="195" s="361" customFormat="1"/>
    <row r="196" s="361" customFormat="1"/>
    <row r="197" s="361" customFormat="1"/>
    <row r="198" s="361" customFormat="1"/>
    <row r="199" s="361" customFormat="1"/>
    <row r="200" s="361" customFormat="1"/>
    <row r="201" s="361" customFormat="1"/>
    <row r="202" s="361" customFormat="1"/>
    <row r="203" s="361" customFormat="1"/>
    <row r="204" s="361" customFormat="1"/>
    <row r="205" s="361" customFormat="1"/>
    <row r="206" s="361" customFormat="1"/>
    <row r="207" s="361" customFormat="1"/>
    <row r="208" s="361" customFormat="1"/>
    <row r="209" s="361" customFormat="1"/>
    <row r="210" s="361" customFormat="1"/>
    <row r="211" s="361" customFormat="1"/>
    <row r="212" s="361" customFormat="1"/>
    <row r="213" s="361" customFormat="1"/>
    <row r="214" s="361" customFormat="1"/>
    <row r="215" s="361" customFormat="1"/>
    <row r="216" s="361" customFormat="1"/>
    <row r="217" s="361" customFormat="1"/>
    <row r="218" s="361" customFormat="1"/>
    <row r="219" s="361" customFormat="1"/>
    <row r="220" s="361" customFormat="1"/>
    <row r="221" s="361" customFormat="1"/>
    <row r="222" s="361" customFormat="1"/>
    <row r="223" s="361" customFormat="1"/>
    <row r="224" s="361" customFormat="1"/>
    <row r="225" s="361" customFormat="1"/>
    <row r="226" s="361" customFormat="1"/>
    <row r="227" s="361" customFormat="1"/>
    <row r="228" s="361" customFormat="1"/>
    <row r="229" s="361" customFormat="1"/>
    <row r="230" s="361" customFormat="1"/>
    <row r="231" s="361" customFormat="1"/>
    <row r="232" s="361" customFormat="1"/>
    <row r="233" s="361" customFormat="1"/>
    <row r="234" s="361" customFormat="1"/>
    <row r="235" s="361" customFormat="1"/>
    <row r="236" s="361" customFormat="1"/>
    <row r="237" s="361" customFormat="1"/>
    <row r="238" s="361" customFormat="1"/>
    <row r="239" s="361" customFormat="1"/>
    <row r="240" s="361" customFormat="1"/>
    <row r="241" s="361" customFormat="1"/>
    <row r="242" s="361" customFormat="1"/>
  </sheetData>
  <sheetProtection algorithmName="SHA-512" hashValue="bJp+PeqYsQ2iPbrT6OdHmjzhtCpLaEjNSoTq81KU2WhNwCxZ8TK0YcLrfXKRU+T1HwJq+9yCWPXWNBcd2X/3jA==" saltValue="fzU3IwWrw6TWD8kHD9JvdA==" spinCount="100000" sheet="1" objects="1" scenarios="1"/>
  <mergeCells count="1">
    <mergeCell ref="A1:B1"/>
  </mergeCells>
  <hyperlinks>
    <hyperlink ref="B18" r:id="rId1" xr:uid="{75C22B21-8ECB-4C79-BBDE-513C4E5D1538}"/>
    <hyperlink ref="B14" r:id="rId2" xr:uid="{5AFA95B0-6869-4566-B068-D0E6F305C02B}"/>
  </hyperlinks>
  <pageMargins left="0.39370078740157483" right="0.39370078740157483" top="0.39370078740157483" bottom="0.39370078740157483" header="0.31496062992125984" footer="0.31496062992125984"/>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3A6E-4ACD-4980-9EA2-51CA8E9C32B2}">
  <sheetPr codeName="List30">
    <tabColor rgb="FFFFFFCC"/>
    <pageSetUpPr fitToPage="1"/>
  </sheetPr>
  <dimension ref="A1:AP245"/>
  <sheetViews>
    <sheetView workbookViewId="0">
      <selection activeCell="B4" sqref="B4"/>
    </sheetView>
  </sheetViews>
  <sheetFormatPr defaultColWidth="9.140625" defaultRowHeight="12.75"/>
  <cols>
    <col min="1" max="1" width="4" style="301" customWidth="1"/>
    <col min="2" max="2" width="100.7109375" style="301" customWidth="1"/>
    <col min="3" max="42" width="9.140625" style="361"/>
    <col min="43" max="16384" width="9.140625" style="301"/>
  </cols>
  <sheetData>
    <row r="1" spans="1:2" ht="18">
      <c r="A1" s="652" t="s">
        <v>3910</v>
      </c>
      <c r="B1" s="653"/>
    </row>
    <row r="2" spans="1:2">
      <c r="A2" s="368"/>
      <c r="B2" s="368"/>
    </row>
    <row r="3" spans="1:2" ht="28.5" customHeight="1">
      <c r="A3" s="369" t="s">
        <v>129</v>
      </c>
      <c r="B3" s="371" t="s">
        <v>3900</v>
      </c>
    </row>
    <row r="4" spans="1:2" ht="43.5">
      <c r="A4" s="369" t="s">
        <v>130</v>
      </c>
      <c r="B4" s="371" t="s">
        <v>3901</v>
      </c>
    </row>
    <row r="5" spans="1:2" ht="28.5">
      <c r="A5" s="369" t="s">
        <v>131</v>
      </c>
      <c r="B5" s="371" t="s">
        <v>3902</v>
      </c>
    </row>
    <row r="6" spans="1:2" ht="29.25">
      <c r="A6" s="369" t="s">
        <v>304</v>
      </c>
      <c r="B6" s="628" t="s">
        <v>3903</v>
      </c>
    </row>
    <row r="7" spans="1:2" s="361" customFormat="1" ht="43.5">
      <c r="A7" s="369" t="s">
        <v>96</v>
      </c>
      <c r="B7" s="628" t="s">
        <v>3904</v>
      </c>
    </row>
    <row r="8" spans="1:2" s="361" customFormat="1" ht="43.5">
      <c r="A8" s="369" t="s">
        <v>303</v>
      </c>
      <c r="B8" s="370" t="s">
        <v>3905</v>
      </c>
    </row>
    <row r="9" spans="1:2" s="361" customFormat="1" ht="30">
      <c r="A9" s="369" t="s">
        <v>302</v>
      </c>
      <c r="B9" s="370" t="s">
        <v>3906</v>
      </c>
    </row>
    <row r="10" spans="1:2" s="361" customFormat="1" ht="29.25">
      <c r="A10" s="369" t="s">
        <v>3907</v>
      </c>
      <c r="B10" s="371" t="s">
        <v>3908</v>
      </c>
    </row>
    <row r="11" spans="1:2" s="361" customFormat="1" ht="30">
      <c r="A11" s="369" t="s">
        <v>300</v>
      </c>
      <c r="B11" s="629" t="s">
        <v>3909</v>
      </c>
    </row>
    <row r="12" spans="1:2" s="361" customFormat="1" ht="15">
      <c r="A12" s="369"/>
      <c r="B12" s="629"/>
    </row>
    <row r="13" spans="1:2" s="361" customFormat="1" ht="18">
      <c r="A13" s="652" t="s">
        <v>3911</v>
      </c>
      <c r="B13" s="653"/>
    </row>
    <row r="14" spans="1:2" s="361" customFormat="1" ht="18">
      <c r="A14" s="626"/>
      <c r="B14" s="368"/>
    </row>
    <row r="15" spans="1:2" s="361" customFormat="1" ht="44.25" customHeight="1">
      <c r="A15" s="369" t="s">
        <v>129</v>
      </c>
      <c r="B15" s="370" t="s">
        <v>3912</v>
      </c>
    </row>
    <row r="16" spans="1:2" s="361" customFormat="1" ht="30">
      <c r="A16" s="369" t="s">
        <v>3913</v>
      </c>
      <c r="B16" s="370" t="s">
        <v>3914</v>
      </c>
    </row>
    <row r="17" spans="1:2" s="361" customFormat="1" ht="43.5">
      <c r="A17" s="369" t="s">
        <v>131</v>
      </c>
      <c r="B17" s="370" t="s">
        <v>3915</v>
      </c>
    </row>
    <row r="18" spans="1:2" s="361" customFormat="1" ht="30">
      <c r="A18" s="369" t="s">
        <v>304</v>
      </c>
      <c r="B18" s="370" t="s">
        <v>3916</v>
      </c>
    </row>
    <row r="19" spans="1:2" s="361" customFormat="1" ht="14.25">
      <c r="A19" s="369"/>
      <c r="B19" s="371"/>
    </row>
    <row r="20" spans="1:2" s="361" customFormat="1" ht="15.75">
      <c r="A20" s="369"/>
      <c r="B20" s="375" t="s">
        <v>3627</v>
      </c>
    </row>
    <row r="21" spans="1:2" s="361" customFormat="1" ht="14.25">
      <c r="A21" s="369"/>
      <c r="B21" s="376" t="s">
        <v>3439</v>
      </c>
    </row>
    <row r="22" spans="1:2" s="361" customFormat="1" ht="14.25">
      <c r="A22" s="369"/>
      <c r="B22" s="376" t="s">
        <v>3440</v>
      </c>
    </row>
    <row r="23" spans="1:2" s="361" customFormat="1" ht="45" customHeight="1">
      <c r="A23" s="369"/>
      <c r="B23" s="371"/>
    </row>
    <row r="24" spans="1:2" s="361" customFormat="1" ht="45" customHeight="1">
      <c r="A24" s="369"/>
      <c r="B24" s="371"/>
    </row>
    <row r="25" spans="1:2" s="361" customFormat="1" ht="45" customHeight="1">
      <c r="A25" s="368"/>
      <c r="B25" s="368"/>
    </row>
    <row r="26" spans="1:2" s="361" customFormat="1" ht="45" customHeight="1">
      <c r="A26" s="368"/>
      <c r="B26" s="375"/>
    </row>
    <row r="27" spans="1:2" s="361" customFormat="1" ht="45" customHeight="1">
      <c r="A27" s="368"/>
      <c r="B27" s="376"/>
    </row>
    <row r="28" spans="1:2" s="361" customFormat="1" ht="45" customHeight="1">
      <c r="A28" s="368"/>
      <c r="B28" s="376"/>
    </row>
    <row r="29" spans="1:2" s="361" customFormat="1"/>
    <row r="30" spans="1:2" s="361" customFormat="1"/>
    <row r="31" spans="1:2" s="361" customFormat="1"/>
    <row r="32" spans="1:2" s="361" customFormat="1"/>
    <row r="33" s="361" customFormat="1"/>
    <row r="34" s="361" customFormat="1"/>
    <row r="35" s="361" customFormat="1"/>
    <row r="36" s="361" customFormat="1"/>
    <row r="37" s="361" customFormat="1"/>
    <row r="38" s="361" customFormat="1"/>
    <row r="39" s="361" customFormat="1"/>
    <row r="40" s="361" customFormat="1"/>
    <row r="41" s="361" customFormat="1"/>
    <row r="42" s="361" customFormat="1"/>
    <row r="43" s="361" customFormat="1"/>
    <row r="44" s="361" customFormat="1"/>
    <row r="45" s="361" customFormat="1"/>
    <row r="46" s="361" customFormat="1"/>
    <row r="47" s="361" customFormat="1"/>
    <row r="48" s="361" customFormat="1"/>
    <row r="49" s="361" customFormat="1"/>
    <row r="50" s="361" customFormat="1"/>
    <row r="51" s="361" customFormat="1"/>
    <row r="52" s="361" customFormat="1"/>
    <row r="53" s="361" customFormat="1"/>
    <row r="54" s="361" customFormat="1"/>
    <row r="55" s="361" customFormat="1"/>
    <row r="56" s="361" customFormat="1"/>
    <row r="57" s="361" customFormat="1"/>
    <row r="58" s="361" customFormat="1"/>
    <row r="59" s="361" customFormat="1"/>
    <row r="60" s="361" customFormat="1"/>
    <row r="61" s="361" customFormat="1"/>
    <row r="62" s="361" customFormat="1"/>
    <row r="63" s="361" customFormat="1"/>
    <row r="64" s="361" customFormat="1"/>
    <row r="65" s="361" customFormat="1"/>
    <row r="66" s="361" customFormat="1"/>
    <row r="67" s="361" customFormat="1"/>
    <row r="68" s="361" customFormat="1"/>
    <row r="69" s="361" customFormat="1"/>
    <row r="70" s="361" customFormat="1"/>
    <row r="71" s="361" customFormat="1"/>
    <row r="72" s="361" customFormat="1"/>
    <row r="73" s="361" customFormat="1"/>
    <row r="74" s="361" customFormat="1"/>
    <row r="75" s="361" customFormat="1"/>
    <row r="76" s="361" customFormat="1"/>
    <row r="77" s="361" customFormat="1"/>
    <row r="78" s="361" customFormat="1"/>
    <row r="79" s="361" customFormat="1"/>
    <row r="80" s="361" customFormat="1"/>
    <row r="81" s="361" customFormat="1"/>
    <row r="82" s="361" customFormat="1"/>
    <row r="83" s="361" customFormat="1"/>
    <row r="84" s="361" customFormat="1"/>
    <row r="85" s="361" customFormat="1"/>
    <row r="86" s="361" customFormat="1"/>
    <row r="87" s="361" customFormat="1"/>
    <row r="88" s="361" customFormat="1"/>
    <row r="89" s="361" customFormat="1"/>
    <row r="90" s="361" customFormat="1"/>
    <row r="91" s="361" customFormat="1"/>
    <row r="92" s="361" customFormat="1"/>
    <row r="93" s="361" customFormat="1"/>
    <row r="94" s="361" customFormat="1"/>
    <row r="95" s="361" customFormat="1"/>
    <row r="96" s="361" customFormat="1"/>
    <row r="97" s="361" customFormat="1"/>
    <row r="98" s="361" customFormat="1"/>
    <row r="99" s="361" customFormat="1"/>
    <row r="100" s="361" customFormat="1"/>
    <row r="101" s="361" customFormat="1"/>
    <row r="102" s="361" customFormat="1"/>
    <row r="103" s="361" customFormat="1"/>
    <row r="104" s="361" customFormat="1"/>
    <row r="105" s="361" customFormat="1"/>
    <row r="106" s="361" customFormat="1"/>
    <row r="107" s="361" customFormat="1"/>
    <row r="108" s="361" customFormat="1"/>
    <row r="109" s="361" customFormat="1"/>
    <row r="110" s="361" customFormat="1"/>
    <row r="111" s="361" customFormat="1"/>
    <row r="112" s="361" customFormat="1"/>
    <row r="113" s="361" customFormat="1"/>
    <row r="114" s="361" customFormat="1"/>
    <row r="115" s="361" customFormat="1"/>
    <row r="116" s="361" customFormat="1"/>
    <row r="117" s="361" customFormat="1"/>
    <row r="118" s="361" customFormat="1"/>
    <row r="119" s="361" customFormat="1"/>
    <row r="120" s="361" customFormat="1"/>
    <row r="121" s="361" customFormat="1"/>
    <row r="122" s="361" customFormat="1"/>
    <row r="123" s="361" customFormat="1"/>
    <row r="124" s="361" customFormat="1"/>
    <row r="125" s="361" customFormat="1"/>
    <row r="126" s="361" customFormat="1"/>
    <row r="127" s="361" customFormat="1"/>
    <row r="128" s="361" customFormat="1"/>
    <row r="129" s="361" customFormat="1"/>
    <row r="130" s="361" customFormat="1"/>
    <row r="131" s="361" customFormat="1"/>
    <row r="132" s="361" customFormat="1"/>
    <row r="133" s="361" customFormat="1"/>
    <row r="134" s="361" customFormat="1"/>
    <row r="135" s="361" customFormat="1"/>
    <row r="136" s="361" customFormat="1"/>
    <row r="137" s="361" customFormat="1"/>
    <row r="138" s="361" customFormat="1"/>
    <row r="139" s="361" customFormat="1"/>
    <row r="140" s="361" customFormat="1"/>
    <row r="141" s="361" customFormat="1"/>
    <row r="142" s="361" customFormat="1"/>
    <row r="143" s="361" customFormat="1"/>
    <row r="144" s="361" customFormat="1"/>
    <row r="145" s="361" customFormat="1"/>
    <row r="146" s="361" customFormat="1"/>
    <row r="147" s="361" customFormat="1"/>
    <row r="148" s="361" customFormat="1"/>
    <row r="149" s="361" customFormat="1"/>
    <row r="150" s="361" customFormat="1"/>
    <row r="151" s="361" customFormat="1"/>
    <row r="152" s="361" customFormat="1"/>
    <row r="153" s="361" customFormat="1"/>
    <row r="154" s="361" customFormat="1"/>
    <row r="155" s="361" customFormat="1"/>
    <row r="156" s="361" customFormat="1"/>
    <row r="157" s="361" customFormat="1"/>
    <row r="158" s="361" customFormat="1"/>
    <row r="159" s="361" customFormat="1"/>
    <row r="160" s="361" customFormat="1"/>
    <row r="161" s="361" customFormat="1"/>
    <row r="162" s="361" customFormat="1"/>
    <row r="163" s="361" customFormat="1"/>
    <row r="164" s="361" customFormat="1"/>
    <row r="165" s="361" customFormat="1"/>
    <row r="166" s="361" customFormat="1"/>
    <row r="167" s="361" customFormat="1"/>
    <row r="168" s="361" customFormat="1"/>
    <row r="169" s="361" customFormat="1"/>
    <row r="170" s="361" customFormat="1"/>
    <row r="171" s="361" customFormat="1"/>
    <row r="172" s="361" customFormat="1"/>
    <row r="173" s="361" customFormat="1"/>
    <row r="174" s="361" customFormat="1"/>
    <row r="175" s="361" customFormat="1"/>
    <row r="176" s="361" customFormat="1"/>
    <row r="177" s="361" customFormat="1"/>
    <row r="178" s="361" customFormat="1"/>
    <row r="179" s="361" customFormat="1"/>
    <row r="180" s="361" customFormat="1"/>
    <row r="181" s="361" customFormat="1"/>
    <row r="182" s="361" customFormat="1"/>
    <row r="183" s="361" customFormat="1"/>
    <row r="184" s="361" customFormat="1"/>
    <row r="185" s="361" customFormat="1"/>
    <row r="186" s="361" customFormat="1"/>
    <row r="187" s="361" customFormat="1"/>
    <row r="188" s="361" customFormat="1"/>
    <row r="189" s="361" customFormat="1"/>
    <row r="190" s="361" customFormat="1"/>
    <row r="191" s="361" customFormat="1"/>
    <row r="192" s="361" customFormat="1"/>
    <row r="193" s="361" customFormat="1"/>
    <row r="194" s="361" customFormat="1"/>
    <row r="195" s="361" customFormat="1"/>
    <row r="196" s="361" customFormat="1"/>
    <row r="197" s="361" customFormat="1"/>
    <row r="198" s="361" customFormat="1"/>
    <row r="199" s="361" customFormat="1"/>
    <row r="200" s="361" customFormat="1"/>
    <row r="201" s="361" customFormat="1"/>
    <row r="202" s="361" customFormat="1"/>
    <row r="203" s="361" customFormat="1"/>
    <row r="204" s="361" customFormat="1"/>
    <row r="205" s="361" customFormat="1"/>
    <row r="206" s="361" customFormat="1"/>
    <row r="207" s="361" customFormat="1"/>
    <row r="208" s="361" customFormat="1"/>
    <row r="209" s="361" customFormat="1"/>
    <row r="210" s="361" customFormat="1"/>
    <row r="211" s="361" customFormat="1"/>
    <row r="212" s="361" customFormat="1"/>
    <row r="213" s="361" customFormat="1"/>
    <row r="214" s="361" customFormat="1"/>
    <row r="215" s="361" customFormat="1"/>
    <row r="216" s="361" customFormat="1"/>
    <row r="217" s="361" customFormat="1"/>
    <row r="218" s="361" customFormat="1"/>
    <row r="219" s="361" customFormat="1"/>
    <row r="220" s="361" customFormat="1"/>
    <row r="221" s="361" customFormat="1"/>
    <row r="222" s="361" customFormat="1"/>
    <row r="223" s="361" customFormat="1"/>
    <row r="224" s="361" customFormat="1"/>
    <row r="225" s="361" customFormat="1"/>
    <row r="226" s="361" customFormat="1"/>
    <row r="227" s="361" customFormat="1"/>
    <row r="228" s="361" customFormat="1"/>
    <row r="229" s="361" customFormat="1"/>
    <row r="230" s="361" customFormat="1"/>
    <row r="231" s="361" customFormat="1"/>
    <row r="232" s="361" customFormat="1"/>
    <row r="233" s="361" customFormat="1"/>
    <row r="234" s="361" customFormat="1"/>
    <row r="235" s="361" customFormat="1"/>
    <row r="236" s="361" customFormat="1"/>
    <row r="237" s="361" customFormat="1"/>
    <row r="238" s="361" customFormat="1"/>
    <row r="239" s="361" customFormat="1"/>
    <row r="240" s="361" customFormat="1"/>
    <row r="241" s="361" customFormat="1"/>
    <row r="242" s="361" customFormat="1"/>
    <row r="243" s="361" customFormat="1"/>
    <row r="244" s="361" customFormat="1"/>
    <row r="245" s="361" customFormat="1"/>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3" right="0.39370078740157483" top="0.39370078740157483" bottom="0.3937007874015748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2">
    <pageSetUpPr fitToPage="1"/>
  </sheetPr>
  <dimension ref="A1:AK217"/>
  <sheetViews>
    <sheetView workbookViewId="0">
      <selection activeCell="A44" sqref="A44:E44"/>
    </sheetView>
  </sheetViews>
  <sheetFormatPr defaultRowHeight="12.75"/>
  <cols>
    <col min="1" max="1" width="28.140625" style="75" customWidth="1"/>
    <col min="2" max="2" width="65.7109375" style="75" customWidth="1"/>
    <col min="3" max="3" width="3" style="75" customWidth="1"/>
    <col min="4" max="4" width="65.7109375" style="75" customWidth="1"/>
    <col min="5" max="5" width="28.28515625" style="75" customWidth="1"/>
    <col min="6" max="37" width="9.140625" style="21"/>
  </cols>
  <sheetData>
    <row r="1" spans="1:37" s="107" customFormat="1" ht="18">
      <c r="A1" s="659" t="s">
        <v>319</v>
      </c>
      <c r="B1" s="660"/>
      <c r="C1" s="660"/>
      <c r="D1" s="660"/>
      <c r="E1" s="66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row>
    <row r="2" spans="1:37" s="107" customFormat="1" ht="18">
      <c r="A2" s="257"/>
      <c r="B2" s="362" t="s">
        <v>3537</v>
      </c>
      <c r="C2" s="258"/>
      <c r="D2" s="264" t="s">
        <v>167</v>
      </c>
      <c r="E2" s="2"/>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row>
    <row r="3" spans="1:37" s="107" customFormat="1" ht="15.95" customHeight="1">
      <c r="A3" s="179"/>
      <c r="B3" s="180" t="s">
        <v>320</v>
      </c>
      <c r="C3" s="142"/>
      <c r="D3" s="180" t="s">
        <v>321</v>
      </c>
      <c r="E3" s="176"/>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s="107" customFormat="1" ht="15.95" customHeight="1">
      <c r="A4" s="415" t="s">
        <v>3601</v>
      </c>
      <c r="B4" s="540"/>
      <c r="C4" s="182"/>
      <c r="D4" s="499"/>
      <c r="E4" s="414" t="s">
        <v>3598</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s="107" customFormat="1" ht="15.95" customHeight="1">
      <c r="A5" s="415" t="s">
        <v>3602</v>
      </c>
      <c r="B5" s="541"/>
      <c r="C5" s="183"/>
      <c r="D5" s="500"/>
      <c r="E5" s="142"/>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s="107" customFormat="1" ht="15.95" customHeight="1">
      <c r="A6" s="415" t="s">
        <v>3612</v>
      </c>
      <c r="B6" s="192"/>
      <c r="C6" s="183"/>
      <c r="D6" s="500"/>
      <c r="E6" s="142"/>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1:37" s="107" customFormat="1" ht="15.95" customHeight="1">
      <c r="A7" s="415" t="s">
        <v>3603</v>
      </c>
      <c r="B7" s="541"/>
      <c r="C7" s="183"/>
      <c r="D7" s="193"/>
      <c r="E7" s="414" t="s">
        <v>3599</v>
      </c>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s="107" customFormat="1" ht="15.95" customHeight="1">
      <c r="A8" s="415" t="s">
        <v>3613</v>
      </c>
      <c r="B8" s="530"/>
      <c r="C8" s="183"/>
      <c r="D8" s="193"/>
      <c r="E8" s="142"/>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row>
    <row r="9" spans="1:37" s="107" customFormat="1" ht="15.95" customHeight="1">
      <c r="A9" s="415" t="s">
        <v>37</v>
      </c>
      <c r="B9" s="194"/>
      <c r="C9" s="183"/>
      <c r="D9" s="193"/>
      <c r="E9" s="142"/>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1:37" s="107" customFormat="1" ht="15.95" customHeight="1">
      <c r="A10" s="415" t="s">
        <v>3600</v>
      </c>
      <c r="B10" s="194"/>
      <c r="C10" s="183"/>
      <c r="D10" s="195"/>
      <c r="E10" s="414" t="s">
        <v>3600</v>
      </c>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row>
    <row r="11" spans="1:37" s="107" customFormat="1" ht="15.95" customHeight="1">
      <c r="A11" s="415" t="s">
        <v>3614</v>
      </c>
      <c r="B11" s="194"/>
      <c r="C11" s="183"/>
      <c r="D11" s="193"/>
      <c r="E11" s="142"/>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7" s="107" customFormat="1" ht="15.95" customHeight="1">
      <c r="A12" s="181"/>
      <c r="B12" s="495" t="s">
        <v>3750</v>
      </c>
      <c r="C12" s="496"/>
      <c r="D12" s="497"/>
      <c r="E12" s="142"/>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s="107" customFormat="1" ht="15.95" customHeight="1">
      <c r="A13" s="416" t="s">
        <v>3615</v>
      </c>
      <c r="B13" s="196"/>
      <c r="C13" s="503"/>
      <c r="D13" s="197"/>
      <c r="E13" s="184" t="s">
        <v>324</v>
      </c>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s="107" customFormat="1" ht="15.95" customHeight="1">
      <c r="A14" s="416" t="s">
        <v>3616</v>
      </c>
      <c r="B14" s="196"/>
      <c r="C14" s="183"/>
      <c r="D14" s="197"/>
      <c r="E14" s="414" t="s">
        <v>3601</v>
      </c>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s="107" customFormat="1" ht="15.95" customHeight="1">
      <c r="A15" s="185" t="s">
        <v>326</v>
      </c>
      <c r="B15" s="196"/>
      <c r="C15" s="183"/>
      <c r="D15" s="197"/>
      <c r="E15" s="414" t="s">
        <v>3602</v>
      </c>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s="107" customFormat="1" ht="15.95" customHeight="1">
      <c r="A16" s="415" t="s">
        <v>3617</v>
      </c>
      <c r="B16" s="196"/>
      <c r="C16" s="183"/>
      <c r="D16" s="197"/>
      <c r="E16" s="414" t="s">
        <v>3603</v>
      </c>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s="107" customFormat="1" ht="15.95" customHeight="1">
      <c r="A17" s="415" t="s">
        <v>3607</v>
      </c>
      <c r="B17" s="198"/>
      <c r="C17" s="183"/>
      <c r="D17" s="197"/>
      <c r="E17" s="414" t="s">
        <v>3604</v>
      </c>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s="107" customFormat="1" ht="15.95" customHeight="1">
      <c r="A18" s="415" t="s">
        <v>3608</v>
      </c>
      <c r="B18" s="196"/>
      <c r="C18" s="183"/>
      <c r="D18" s="197"/>
      <c r="E18" s="142"/>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s="107" customFormat="1" ht="15.95" customHeight="1">
      <c r="A19" s="415" t="s">
        <v>3609</v>
      </c>
      <c r="B19" s="198"/>
      <c r="C19" s="503"/>
      <c r="D19" s="197"/>
      <c r="E19" s="184" t="s">
        <v>323</v>
      </c>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s="107" customFormat="1" ht="15.95" customHeight="1">
      <c r="A20" s="416" t="s">
        <v>3618</v>
      </c>
      <c r="B20" s="196"/>
      <c r="C20" s="183"/>
      <c r="D20" s="197"/>
      <c r="E20" s="414" t="s">
        <v>3601</v>
      </c>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s="107" customFormat="1" ht="15.95" customHeight="1">
      <c r="A21" s="415" t="s">
        <v>3619</v>
      </c>
      <c r="B21" s="196"/>
      <c r="C21" s="183"/>
      <c r="D21" s="197"/>
      <c r="E21" s="414" t="s">
        <v>3602</v>
      </c>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s="107" customFormat="1" ht="15.95" customHeight="1">
      <c r="A22" s="181"/>
      <c r="B22" s="196"/>
      <c r="C22" s="183"/>
      <c r="D22" s="197"/>
      <c r="E22" s="414" t="s">
        <v>3603</v>
      </c>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s="107" customFormat="1" ht="15.95" customHeight="1">
      <c r="A23" s="185" t="s">
        <v>3620</v>
      </c>
      <c r="B23" s="196"/>
      <c r="C23" s="183"/>
      <c r="D23" s="199"/>
      <c r="E23" s="414" t="s">
        <v>3605</v>
      </c>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s="107" customFormat="1" ht="15.95" customHeight="1">
      <c r="A24" s="181"/>
      <c r="B24" s="196"/>
      <c r="C24" s="183"/>
      <c r="D24" s="197"/>
      <c r="E24" s="414" t="s">
        <v>3606</v>
      </c>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s="107" customFormat="1" ht="15.95" customHeight="1">
      <c r="A25" s="415" t="s">
        <v>3605</v>
      </c>
      <c r="B25" s="200"/>
      <c r="C25" s="183"/>
      <c r="D25" s="201"/>
      <c r="E25" s="414" t="s">
        <v>3607</v>
      </c>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s="107" customFormat="1" ht="15.95" customHeight="1">
      <c r="A26" s="415" t="s">
        <v>3621</v>
      </c>
      <c r="B26" s="200"/>
      <c r="C26" s="183"/>
      <c r="D26" s="197"/>
      <c r="E26" s="414" t="s">
        <v>3608</v>
      </c>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s="107" customFormat="1" ht="15.95" customHeight="1">
      <c r="A27" s="415" t="s">
        <v>3611</v>
      </c>
      <c r="B27" s="504"/>
      <c r="C27" s="183"/>
      <c r="D27" s="202"/>
      <c r="E27" s="414" t="s">
        <v>3609</v>
      </c>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row>
    <row r="28" spans="1:37" s="107" customFormat="1" ht="15.95" customHeight="1">
      <c r="A28" s="415" t="s">
        <v>3622</v>
      </c>
      <c r="B28" s="196"/>
      <c r="C28" s="183"/>
      <c r="D28" s="197"/>
      <c r="E28" s="142"/>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s="107" customFormat="1" ht="15.95" customHeight="1">
      <c r="A29" s="416" t="s">
        <v>3623</v>
      </c>
      <c r="B29" s="498"/>
      <c r="C29" s="503"/>
      <c r="D29" s="197"/>
      <c r="E29" s="184" t="s">
        <v>325</v>
      </c>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s="107" customFormat="1" ht="15.95" customHeight="1">
      <c r="A30" s="360"/>
      <c r="B30" s="498"/>
      <c r="C30" s="183"/>
      <c r="D30" s="197"/>
      <c r="E30" s="414" t="s">
        <v>3601</v>
      </c>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s="107" customFormat="1" ht="15.95" customHeight="1">
      <c r="A31" s="185" t="s">
        <v>322</v>
      </c>
      <c r="B31" s="196"/>
      <c r="C31" s="183"/>
      <c r="D31" s="197"/>
      <c r="E31" s="414" t="s">
        <v>3602</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s="107" customFormat="1" ht="15.95" customHeight="1">
      <c r="A32" s="415" t="s">
        <v>3624</v>
      </c>
      <c r="B32" s="198"/>
      <c r="C32" s="183"/>
      <c r="D32" s="197"/>
      <c r="E32" s="414" t="s">
        <v>3603</v>
      </c>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s="107" customFormat="1" ht="15.95" customHeight="1">
      <c r="A33" s="415" t="s">
        <v>3625</v>
      </c>
      <c r="B33" s="198"/>
      <c r="C33" s="183"/>
      <c r="D33" s="199"/>
      <c r="E33" s="414" t="s">
        <v>3605</v>
      </c>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s="107" customFormat="1" ht="15.95" customHeight="1">
      <c r="A34" s="415" t="s">
        <v>3626</v>
      </c>
      <c r="B34" s="196"/>
      <c r="C34" s="183"/>
      <c r="D34" s="199"/>
      <c r="E34" s="414" t="s">
        <v>3610</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7" s="107" customFormat="1" ht="15.95" customHeight="1">
      <c r="A35" s="181"/>
      <c r="B35" s="196"/>
      <c r="C35" s="183"/>
      <c r="D35" s="295"/>
      <c r="E35" s="414" t="s">
        <v>3611</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s="107" customFormat="1" ht="15.95" customHeight="1">
      <c r="A36" s="181"/>
      <c r="B36" s="203"/>
      <c r="C36" s="186"/>
      <c r="D36" s="204"/>
      <c r="E36" s="142"/>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s="107" customFormat="1">
      <c r="A37" s="661" t="s">
        <v>3572</v>
      </c>
      <c r="B37" s="660"/>
      <c r="C37" s="660"/>
      <c r="D37" s="660"/>
      <c r="E37" s="66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row>
    <row r="38" spans="1:37" s="107" customFormat="1">
      <c r="A38" s="187"/>
      <c r="B38" s="188" t="s">
        <v>328</v>
      </c>
      <c r="C38" s="142"/>
      <c r="D38" s="657" t="s">
        <v>330</v>
      </c>
      <c r="E38" s="658"/>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1:37" s="107" customFormat="1">
      <c r="A39" s="189"/>
      <c r="B39" s="190" t="s">
        <v>327</v>
      </c>
      <c r="C39" s="142"/>
      <c r="D39" s="191" t="s">
        <v>0</v>
      </c>
      <c r="E39" s="142"/>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107" customFormat="1">
      <c r="A40" s="205"/>
      <c r="B40" s="206" t="s">
        <v>329</v>
      </c>
      <c r="C40" s="142"/>
      <c r="D40" s="142"/>
      <c r="E40" s="142"/>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row>
    <row r="41" spans="1:37" s="107" customFormat="1">
      <c r="A41" s="656" t="s">
        <v>235</v>
      </c>
      <c r="B41" s="656"/>
      <c r="C41" s="656"/>
      <c r="D41" s="656"/>
      <c r="E41" s="177"/>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row>
    <row r="43" spans="1:37" s="21" customFormat="1">
      <c r="A43" s="178"/>
    </row>
    <row r="44" spans="1:37" s="21" customFormat="1">
      <c r="A44" s="654"/>
      <c r="B44" s="655"/>
      <c r="C44" s="655"/>
      <c r="D44" s="655"/>
      <c r="E44" s="655"/>
    </row>
    <row r="45" spans="1:37" s="21" customFormat="1"/>
    <row r="46" spans="1:37" s="21" customFormat="1"/>
    <row r="47" spans="1:37" s="21" customFormat="1"/>
    <row r="48" spans="1:37" s="21" customFormat="1"/>
    <row r="49" spans="1:1" s="21" customFormat="1"/>
    <row r="50" spans="1:1" s="21" customFormat="1"/>
    <row r="51" spans="1:1" s="21" customFormat="1"/>
    <row r="52" spans="1:1" s="21" customFormat="1"/>
    <row r="53" spans="1:1" s="21" customFormat="1">
      <c r="A53" s="178"/>
    </row>
    <row r="54" spans="1:1" s="21" customFormat="1"/>
    <row r="55" spans="1:1" s="21" customFormat="1"/>
    <row r="56" spans="1:1" s="21" customFormat="1"/>
    <row r="57" spans="1:1" s="21" customFormat="1"/>
    <row r="58" spans="1:1" s="21" customFormat="1"/>
    <row r="59" spans="1:1" s="21" customFormat="1"/>
    <row r="60" spans="1:1" s="21" customFormat="1"/>
    <row r="61" spans="1:1" s="21" customFormat="1"/>
    <row r="62" spans="1:1" s="21" customFormat="1"/>
    <row r="63" spans="1:1" s="21" customFormat="1"/>
    <row r="64" spans="1:1"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phoneticPr fontId="11" type="noConversion"/>
  <dataValidations count="4">
    <dataValidation type="list" allowBlank="1" showInputMessage="1" showErrorMessage="1" errorTitle="Neexistující úřad" error="Vyberte Finanční úřad ze seznamu" sqref="B13" xr:uid="{00000000-0002-0000-0300-000000000000}">
      <formula1>fin_ur</formula1>
    </dataValidation>
    <dataValidation type="list" errorStyle="warning" allowBlank="1" showInputMessage="1" sqref="B14" xr:uid="{00000000-0002-0000-0300-000001000000}">
      <formula1>validation_list2</formula1>
    </dataValidation>
    <dataValidation type="list" allowBlank="1" showInputMessage="1" sqref="B29:B30" xr:uid="{00000000-0002-0000-0300-000002000000}">
      <formula1>vl_cinnosti</formula1>
    </dataValidation>
    <dataValidation type="list" allowBlank="1" showInputMessage="1" showErrorMessage="1" errorTitle="Stát není v seznamu" sqref="B20" xr:uid="{00000000-0002-0000-0300-000003000000}">
      <formula1>staty</formula1>
    </dataValidation>
  </dataValidations>
  <printOptions horizontalCentered="1" verticalCentered="1"/>
  <pageMargins left="0.19685039370078741" right="0.19685039370078741" top="0.39370078740157483" bottom="0.19685039370078741" header="0.51181102362204722" footer="0.51181102362204722"/>
  <pageSetup paperSize="9" scale="76"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autoPageBreaks="0" fitToPage="1"/>
  </sheetPr>
  <dimension ref="A1:N204"/>
  <sheetViews>
    <sheetView showZeros="0" showOutlineSymbols="0" zoomScaleNormal="100" workbookViewId="0">
      <selection sqref="A1:L1"/>
    </sheetView>
  </sheetViews>
  <sheetFormatPr defaultColWidth="9.140625" defaultRowHeight="12.75"/>
  <cols>
    <col min="1" max="1" width="8.28515625" style="3" customWidth="1"/>
    <col min="2" max="2" width="4.7109375" style="3" customWidth="1"/>
    <col min="3" max="3" width="8.28515625" style="3" customWidth="1"/>
    <col min="4" max="4" width="4.7109375" style="3" customWidth="1"/>
    <col min="5" max="5" width="8.28515625" style="2" customWidth="1"/>
    <col min="6" max="6" width="11" style="2" customWidth="1"/>
    <col min="7" max="7" width="7.140625" style="2" customWidth="1"/>
    <col min="8" max="8" width="14.7109375" style="3" customWidth="1"/>
    <col min="9" max="9" width="7.28515625" style="3" customWidth="1"/>
    <col min="10" max="10" width="9.85546875" style="2" customWidth="1"/>
    <col min="11" max="11" width="4.42578125" style="3" customWidth="1"/>
    <col min="12" max="12" width="10.7109375" style="3" customWidth="1"/>
    <col min="13" max="16384" width="9.140625" style="2"/>
  </cols>
  <sheetData>
    <row r="1" spans="1:12">
      <c r="A1" s="757" t="s">
        <v>306</v>
      </c>
      <c r="B1" s="757"/>
      <c r="C1" s="758"/>
      <c r="D1" s="758"/>
      <c r="E1" s="758"/>
      <c r="F1" s="758"/>
      <c r="G1" s="758"/>
      <c r="H1" s="758"/>
      <c r="I1" s="758"/>
      <c r="J1" s="758"/>
      <c r="K1" s="758"/>
      <c r="L1" s="758"/>
    </row>
    <row r="2" spans="1:12">
      <c r="A2" s="769" t="s">
        <v>152</v>
      </c>
      <c r="B2" s="769"/>
      <c r="C2" s="655"/>
      <c r="D2" s="655"/>
      <c r="E2" s="655"/>
      <c r="F2" s="655"/>
      <c r="G2" s="655"/>
      <c r="H2" s="655"/>
      <c r="I2" s="655"/>
      <c r="J2" s="655"/>
      <c r="K2" s="655"/>
      <c r="L2" s="655"/>
    </row>
    <row r="3" spans="1:12" ht="20.25" customHeight="1">
      <c r="A3" s="762">
        <f>+ZAKL_DATA!B13</f>
        <v>0</v>
      </c>
      <c r="B3" s="763"/>
      <c r="C3" s="764"/>
      <c r="D3" s="764"/>
      <c r="E3" s="764"/>
      <c r="F3" s="765"/>
      <c r="G3" s="770"/>
      <c r="H3" s="771"/>
      <c r="I3" s="771"/>
      <c r="J3" s="771"/>
      <c r="K3" s="771"/>
      <c r="L3" s="771"/>
    </row>
    <row r="4" spans="1:12">
      <c r="A4" s="769" t="s">
        <v>153</v>
      </c>
      <c r="B4" s="769"/>
      <c r="C4" s="655"/>
      <c r="D4" s="655"/>
      <c r="E4" s="655"/>
      <c r="F4" s="655"/>
      <c r="G4" s="655"/>
      <c r="H4" s="655"/>
      <c r="I4" s="655"/>
      <c r="J4" s="655"/>
      <c r="K4" s="655"/>
      <c r="L4" s="655"/>
    </row>
    <row r="5" spans="1:12" ht="20.25" customHeight="1">
      <c r="A5" s="762">
        <f>+ZAKL_DATA!B14</f>
        <v>0</v>
      </c>
      <c r="B5" s="763"/>
      <c r="C5" s="764"/>
      <c r="D5" s="764"/>
      <c r="E5" s="764"/>
      <c r="F5" s="765"/>
      <c r="G5" s="759"/>
      <c r="H5" s="775" t="s">
        <v>234</v>
      </c>
      <c r="I5" s="776"/>
      <c r="J5" s="776"/>
      <c r="K5" s="776"/>
      <c r="L5" s="777"/>
    </row>
    <row r="6" spans="1:12">
      <c r="A6" s="772" t="s">
        <v>147</v>
      </c>
      <c r="B6" s="772"/>
      <c r="C6" s="773"/>
      <c r="D6" s="773"/>
      <c r="E6" s="773"/>
      <c r="F6" s="773"/>
      <c r="G6" s="760"/>
      <c r="H6" s="778"/>
      <c r="I6" s="655"/>
      <c r="J6" s="655"/>
      <c r="K6" s="655"/>
      <c r="L6" s="760"/>
    </row>
    <row r="7" spans="1:12" ht="20.25" customHeight="1">
      <c r="A7" s="766" t="str">
        <f>IF(EXACT(LEFT(+ZAKL_DATA!D2,1),"C"),+ZAKL_DATA!D2," ")</f>
        <v>CZ</v>
      </c>
      <c r="B7" s="725"/>
      <c r="C7" s="767"/>
      <c r="D7" s="767"/>
      <c r="E7" s="767"/>
      <c r="F7" s="768"/>
      <c r="G7" s="760"/>
      <c r="H7" s="778"/>
      <c r="I7" s="655"/>
      <c r="J7" s="655"/>
      <c r="K7" s="655"/>
      <c r="L7" s="760"/>
    </row>
    <row r="8" spans="1:12">
      <c r="A8" s="774" t="s">
        <v>148</v>
      </c>
      <c r="B8" s="774"/>
      <c r="C8" s="773"/>
      <c r="D8" s="773"/>
      <c r="E8" s="773"/>
      <c r="F8" s="761"/>
      <c r="G8" s="655"/>
      <c r="H8" s="778"/>
      <c r="I8" s="655"/>
      <c r="J8" s="655"/>
      <c r="K8" s="655"/>
      <c r="L8" s="760"/>
    </row>
    <row r="9" spans="1:12" ht="20.25" customHeight="1">
      <c r="A9" s="724" t="str">
        <f>IF(EXACT(LEFT(+ZAKL_DATA!D2,1),"C"),+MID(A7,3,20),+ZAKL_DATA!D2)</f>
        <v/>
      </c>
      <c r="B9" s="725"/>
      <c r="C9" s="725"/>
      <c r="D9" s="725"/>
      <c r="E9" s="726"/>
      <c r="F9" s="655"/>
      <c r="G9" s="655"/>
      <c r="H9" s="778"/>
      <c r="I9" s="655"/>
      <c r="J9" s="655"/>
      <c r="K9" s="655"/>
      <c r="L9" s="760"/>
    </row>
    <row r="10" spans="1:12">
      <c r="A10" s="669"/>
      <c r="B10" s="669"/>
      <c r="C10" s="669"/>
      <c r="D10" s="669"/>
      <c r="E10" s="669"/>
      <c r="F10" s="655"/>
      <c r="G10" s="655"/>
      <c r="H10" s="779"/>
      <c r="I10" s="780"/>
      <c r="J10" s="780"/>
      <c r="K10" s="780"/>
      <c r="L10" s="781"/>
    </row>
    <row r="11" spans="1:12">
      <c r="A11" s="669" t="s">
        <v>225</v>
      </c>
      <c r="B11" s="669"/>
      <c r="C11" s="655"/>
      <c r="D11" s="655"/>
      <c r="E11" s="655"/>
      <c r="F11" s="655"/>
      <c r="G11" s="655"/>
      <c r="H11" s="655"/>
      <c r="I11" s="655"/>
      <c r="J11" s="655"/>
      <c r="K11" s="655"/>
      <c r="L11" s="655"/>
    </row>
    <row r="12" spans="1:12" ht="11.25" customHeight="1">
      <c r="A12" s="70" t="s">
        <v>149</v>
      </c>
      <c r="B12" s="68"/>
      <c r="C12" s="70" t="s">
        <v>244</v>
      </c>
      <c r="D12" s="9"/>
      <c r="E12" s="70" t="s">
        <v>245</v>
      </c>
      <c r="F12" s="69"/>
      <c r="G12" s="738" t="s">
        <v>226</v>
      </c>
      <c r="H12" s="739"/>
      <c r="I12" s="739"/>
      <c r="J12" s="739"/>
      <c r="K12" s="10"/>
      <c r="L12" s="69"/>
    </row>
    <row r="13" spans="1:12" ht="24" customHeight="1">
      <c r="A13" s="71" t="s">
        <v>246</v>
      </c>
      <c r="B13" s="68"/>
      <c r="C13" s="71"/>
      <c r="D13" s="68"/>
      <c r="E13" s="71"/>
      <c r="F13" s="69"/>
      <c r="G13" s="739"/>
      <c r="H13" s="739"/>
      <c r="I13" s="739"/>
      <c r="J13" s="739"/>
      <c r="K13" s="677"/>
      <c r="L13" s="678"/>
    </row>
    <row r="14" spans="1:12">
      <c r="A14" s="673" t="s">
        <v>216</v>
      </c>
      <c r="B14" s="655"/>
      <c r="C14" s="655"/>
      <c r="D14" s="655"/>
      <c r="E14" s="655"/>
      <c r="F14" s="676"/>
      <c r="G14" s="676"/>
      <c r="H14" s="676"/>
      <c r="I14" s="676"/>
      <c r="J14" s="676"/>
      <c r="K14" s="676"/>
      <c r="L14" s="676"/>
    </row>
    <row r="15" spans="1:12" ht="20.25" customHeight="1">
      <c r="A15" s="71"/>
      <c r="B15" s="670"/>
      <c r="C15" s="655"/>
      <c r="D15" s="655"/>
      <c r="E15" s="655"/>
      <c r="F15" s="674"/>
      <c r="G15" s="675"/>
      <c r="H15" s="675"/>
      <c r="I15" s="675"/>
      <c r="J15" s="128" t="s">
        <v>347</v>
      </c>
      <c r="K15" s="677"/>
      <c r="L15" s="678"/>
    </row>
    <row r="16" spans="1:12">
      <c r="A16" s="683"/>
      <c r="B16" s="684"/>
      <c r="C16" s="684"/>
      <c r="D16" s="684"/>
      <c r="E16" s="684"/>
      <c r="F16" s="675"/>
      <c r="G16" s="675"/>
      <c r="H16" s="675"/>
      <c r="I16" s="675"/>
      <c r="J16" s="72"/>
      <c r="K16" s="74"/>
      <c r="L16" s="73"/>
    </row>
    <row r="17" spans="1:12" ht="24" customHeight="1">
      <c r="A17" s="680" t="s">
        <v>3730</v>
      </c>
      <c r="B17" s="681"/>
      <c r="C17" s="681"/>
      <c r="D17" s="681"/>
      <c r="E17" s="681"/>
      <c r="F17" s="681"/>
      <c r="G17" s="681"/>
      <c r="H17" s="682"/>
      <c r="I17" s="122" t="s">
        <v>224</v>
      </c>
      <c r="J17" s="71"/>
      <c r="K17" s="120" t="s">
        <v>134</v>
      </c>
      <c r="L17" s="71" t="s">
        <v>246</v>
      </c>
    </row>
    <row r="18" spans="1:12" ht="9" customHeight="1">
      <c r="A18" s="679"/>
      <c r="B18" s="679"/>
      <c r="C18" s="676"/>
      <c r="D18" s="676"/>
      <c r="E18" s="676"/>
      <c r="F18" s="676"/>
      <c r="G18" s="676"/>
      <c r="H18" s="676"/>
      <c r="I18" s="676"/>
      <c r="J18" s="676"/>
      <c r="K18" s="676"/>
      <c r="L18" s="676"/>
    </row>
    <row r="19" spans="1:12" ht="24" customHeight="1">
      <c r="A19" s="680" t="s">
        <v>228</v>
      </c>
      <c r="B19" s="681"/>
      <c r="C19" s="681"/>
      <c r="D19" s="681"/>
      <c r="E19" s="681"/>
      <c r="F19" s="681"/>
      <c r="G19" s="681"/>
      <c r="H19" s="682"/>
      <c r="I19" s="122" t="s">
        <v>224</v>
      </c>
      <c r="J19" s="71"/>
      <c r="K19" s="120" t="s">
        <v>134</v>
      </c>
      <c r="L19" s="71" t="s">
        <v>246</v>
      </c>
    </row>
    <row r="20" spans="1:12" ht="20.100000000000001" customHeight="1">
      <c r="A20" s="679"/>
      <c r="B20" s="679"/>
      <c r="C20" s="679"/>
      <c r="D20" s="679"/>
      <c r="E20" s="679"/>
      <c r="F20" s="679"/>
      <c r="G20" s="679"/>
      <c r="H20" s="679"/>
      <c r="I20" s="679"/>
      <c r="J20" s="679"/>
      <c r="K20" s="679"/>
      <c r="L20" s="679"/>
    </row>
    <row r="21" spans="1:12" ht="27.95" customHeight="1">
      <c r="A21" s="731" t="s">
        <v>97</v>
      </c>
      <c r="B21" s="675"/>
      <c r="C21" s="675"/>
      <c r="D21" s="675"/>
      <c r="E21" s="675"/>
      <c r="F21" s="675"/>
      <c r="G21" s="675"/>
      <c r="H21" s="675"/>
      <c r="I21" s="675"/>
      <c r="J21" s="675"/>
      <c r="K21" s="675"/>
      <c r="L21" s="675"/>
    </row>
    <row r="22" spans="1:12" ht="18" customHeight="1">
      <c r="A22" s="732" t="s">
        <v>98</v>
      </c>
      <c r="B22" s="732"/>
      <c r="C22" s="675"/>
      <c r="D22" s="675"/>
      <c r="E22" s="675"/>
      <c r="F22" s="675"/>
      <c r="G22" s="675"/>
      <c r="H22" s="675"/>
      <c r="I22" s="675"/>
      <c r="J22" s="675"/>
      <c r="K22" s="655"/>
      <c r="L22" s="655"/>
    </row>
    <row r="23" spans="1:12" s="106" customFormat="1" ht="18" customHeight="1">
      <c r="A23" s="729" t="s">
        <v>3442</v>
      </c>
      <c r="B23" s="729"/>
      <c r="C23" s="730"/>
      <c r="D23" s="730"/>
      <c r="E23" s="730"/>
      <c r="F23" s="730"/>
      <c r="G23" s="730"/>
      <c r="H23" s="730"/>
      <c r="I23" s="730"/>
      <c r="J23" s="730"/>
      <c r="K23" s="730"/>
      <c r="L23" s="730"/>
    </row>
    <row r="24" spans="1:12" s="106" customFormat="1" ht="24" customHeight="1">
      <c r="A24" s="733" t="s">
        <v>248</v>
      </c>
      <c r="B24" s="734"/>
      <c r="C24" s="734"/>
      <c r="D24" s="734"/>
      <c r="E24" s="735"/>
      <c r="F24" s="671">
        <v>2024</v>
      </c>
      <c r="G24" s="672"/>
      <c r="H24" s="736" t="s">
        <v>180</v>
      </c>
      <c r="I24" s="737"/>
      <c r="J24" s="167"/>
      <c r="K24" s="166" t="s">
        <v>247</v>
      </c>
      <c r="L24" s="167"/>
    </row>
    <row r="25" spans="1:12" ht="18" customHeight="1">
      <c r="A25" s="679" t="s">
        <v>3443</v>
      </c>
      <c r="B25" s="679"/>
      <c r="C25" s="676"/>
      <c r="D25" s="676"/>
      <c r="E25" s="676"/>
      <c r="F25" s="676"/>
      <c r="G25" s="676"/>
      <c r="H25" s="676"/>
      <c r="I25" s="676"/>
      <c r="J25" s="676"/>
      <c r="K25" s="676"/>
      <c r="L25" s="676"/>
    </row>
    <row r="26" spans="1:12" ht="9.9499999999999993" customHeight="1">
      <c r="A26" s="679"/>
      <c r="B26" s="679"/>
      <c r="C26" s="676"/>
      <c r="D26" s="676"/>
      <c r="E26" s="676"/>
      <c r="F26" s="676"/>
      <c r="G26" s="676"/>
      <c r="H26" s="676"/>
      <c r="I26" s="676"/>
      <c r="J26" s="676"/>
      <c r="K26" s="676"/>
      <c r="L26" s="676"/>
    </row>
    <row r="27" spans="1:12" ht="15" customHeight="1" thickBot="1">
      <c r="A27" s="691" t="s">
        <v>133</v>
      </c>
      <c r="B27" s="691"/>
      <c r="C27" s="692"/>
      <c r="D27" s="692"/>
      <c r="E27" s="692"/>
      <c r="F27" s="692"/>
      <c r="G27" s="692"/>
      <c r="H27" s="692"/>
      <c r="I27" s="692"/>
      <c r="J27" s="692"/>
      <c r="K27" s="692"/>
      <c r="L27" s="692"/>
    </row>
    <row r="28" spans="1:12" ht="24" customHeight="1">
      <c r="A28" s="237" t="s">
        <v>1</v>
      </c>
      <c r="B28" s="740">
        <f>+ZAKL_DATA!B5</f>
        <v>0</v>
      </c>
      <c r="C28" s="741"/>
      <c r="D28" s="741"/>
      <c r="E28" s="742"/>
      <c r="F28" s="238" t="s">
        <v>3733</v>
      </c>
      <c r="G28" s="740">
        <f>+ZAKL_DATA!B6</f>
        <v>0</v>
      </c>
      <c r="H28" s="743"/>
      <c r="I28" s="239" t="s">
        <v>275</v>
      </c>
      <c r="J28" s="744">
        <f>+ZAKL_DATA!B4</f>
        <v>0</v>
      </c>
      <c r="K28" s="745"/>
      <c r="L28" s="746"/>
    </row>
    <row r="29" spans="1:12" ht="24" customHeight="1" thickBot="1">
      <c r="A29" s="240" t="s">
        <v>3734</v>
      </c>
      <c r="B29" s="754">
        <f>+ZAKL_DATA!B7</f>
        <v>0</v>
      </c>
      <c r="C29" s="755"/>
      <c r="D29" s="755"/>
      <c r="E29" s="666"/>
      <c r="F29" s="699" t="s">
        <v>2</v>
      </c>
      <c r="G29" s="700"/>
      <c r="H29" s="379">
        <f>+ZAKL_DATA!B20</f>
        <v>0</v>
      </c>
      <c r="I29" s="241" t="s">
        <v>3</v>
      </c>
      <c r="J29" s="751"/>
      <c r="K29" s="752"/>
      <c r="L29" s="753"/>
    </row>
    <row r="30" spans="1:12" ht="15" customHeight="1" thickBot="1">
      <c r="A30" s="756" t="s">
        <v>199</v>
      </c>
      <c r="B30" s="756"/>
      <c r="C30" s="711"/>
      <c r="D30" s="711"/>
      <c r="E30" s="711"/>
      <c r="F30" s="711"/>
      <c r="G30" s="711"/>
      <c r="H30" s="711"/>
      <c r="I30" s="711"/>
      <c r="J30" s="711"/>
      <c r="K30" s="711"/>
      <c r="L30" s="711"/>
    </row>
    <row r="31" spans="1:12" ht="24" customHeight="1">
      <c r="A31" s="237" t="s">
        <v>4</v>
      </c>
      <c r="B31" s="662">
        <f>+ZAKL_DATA!B18</f>
        <v>0</v>
      </c>
      <c r="C31" s="663"/>
      <c r="D31" s="663"/>
      <c r="E31" s="664"/>
      <c r="F31" s="242" t="s">
        <v>3444</v>
      </c>
      <c r="G31" s="662">
        <f>+ZAKL_DATA!B16</f>
        <v>0</v>
      </c>
      <c r="H31" s="749"/>
      <c r="I31" s="750"/>
      <c r="J31" s="747" t="s">
        <v>5</v>
      </c>
      <c r="K31" s="748"/>
      <c r="L31" s="13">
        <f>+ZAKL_DATA!B17</f>
        <v>0</v>
      </c>
    </row>
    <row r="32" spans="1:12" ht="24" customHeight="1" thickBot="1">
      <c r="A32" s="240" t="s">
        <v>181</v>
      </c>
      <c r="B32" s="665">
        <f>+ZAKL_DATA!B19</f>
        <v>0</v>
      </c>
      <c r="C32" s="666"/>
      <c r="D32" s="712" t="s">
        <v>3731</v>
      </c>
      <c r="E32" s="713"/>
      <c r="F32" s="251">
        <f>+ZAKL_DATA!B25</f>
        <v>0</v>
      </c>
      <c r="G32" s="243" t="s">
        <v>3732</v>
      </c>
      <c r="H32" s="720">
        <f>+ZAKL_DATA!B27</f>
        <v>0</v>
      </c>
      <c r="I32" s="721"/>
      <c r="J32" s="244" t="s">
        <v>182</v>
      </c>
      <c r="K32" s="685">
        <f>+ZAKL_DATA!B20</f>
        <v>0</v>
      </c>
      <c r="L32" s="686"/>
    </row>
    <row r="33" spans="1:14" ht="15" customHeight="1">
      <c r="A33" s="718" t="s">
        <v>3577</v>
      </c>
      <c r="B33" s="719"/>
      <c r="C33" s="719"/>
      <c r="D33" s="719"/>
      <c r="E33" s="719"/>
      <c r="F33" s="719"/>
      <c r="G33" s="719"/>
      <c r="H33" s="719"/>
      <c r="I33" s="719"/>
      <c r="J33" s="719"/>
      <c r="K33" s="695"/>
      <c r="L33" s="695"/>
    </row>
    <row r="34" spans="1:14" ht="15" customHeight="1" thickBot="1">
      <c r="A34" s="716" t="s">
        <v>103</v>
      </c>
      <c r="B34" s="717"/>
      <c r="C34" s="717"/>
      <c r="D34" s="717"/>
      <c r="E34" s="717"/>
      <c r="F34" s="717"/>
      <c r="G34" s="717"/>
      <c r="H34" s="717"/>
      <c r="I34" s="717"/>
      <c r="J34" s="717"/>
      <c r="K34" s="711"/>
      <c r="L34" s="711"/>
    </row>
    <row r="35" spans="1:14" ht="24" customHeight="1" thickBot="1">
      <c r="A35" s="245" t="s">
        <v>183</v>
      </c>
      <c r="B35" s="701"/>
      <c r="C35" s="702"/>
      <c r="D35" s="702"/>
      <c r="E35" s="703"/>
      <c r="F35" s="246" t="s">
        <v>102</v>
      </c>
      <c r="G35" s="667"/>
      <c r="H35" s="668"/>
      <c r="I35" s="247" t="s">
        <v>63</v>
      </c>
      <c r="J35" s="248"/>
      <c r="K35" s="249" t="s">
        <v>184</v>
      </c>
      <c r="L35" s="250"/>
      <c r="M35" s="129"/>
      <c r="N35" s="130"/>
    </row>
    <row r="36" spans="1:14" ht="15" customHeight="1">
      <c r="A36" s="707" t="s">
        <v>3590</v>
      </c>
      <c r="B36" s="708"/>
      <c r="C36" s="708"/>
      <c r="D36" s="708"/>
      <c r="E36" s="708"/>
      <c r="F36" s="708"/>
      <c r="G36" s="708"/>
      <c r="H36" s="708"/>
      <c r="I36" s="708"/>
      <c r="J36" s="708"/>
      <c r="K36" s="655"/>
      <c r="L36" s="655"/>
    </row>
    <row r="37" spans="1:14" ht="15" customHeight="1" thickBot="1">
      <c r="A37" s="709" t="s">
        <v>307</v>
      </c>
      <c r="B37" s="710"/>
      <c r="C37" s="710"/>
      <c r="D37" s="710"/>
      <c r="E37" s="710"/>
      <c r="F37" s="710"/>
      <c r="G37" s="710"/>
      <c r="H37" s="710"/>
      <c r="I37" s="710"/>
      <c r="J37" s="710"/>
      <c r="K37" s="711"/>
      <c r="L37" s="711"/>
    </row>
    <row r="38" spans="1:14" ht="24" customHeight="1">
      <c r="A38" s="11" t="s">
        <v>185</v>
      </c>
      <c r="B38" s="662"/>
      <c r="C38" s="663"/>
      <c r="D38" s="663"/>
      <c r="E38" s="664"/>
      <c r="F38" s="111" t="s">
        <v>3445</v>
      </c>
      <c r="G38" s="704"/>
      <c r="H38" s="705"/>
      <c r="I38" s="706"/>
      <c r="J38" s="714" t="s">
        <v>186</v>
      </c>
      <c r="K38" s="715"/>
      <c r="L38" s="13"/>
      <c r="M38" s="129"/>
      <c r="N38" s="130"/>
    </row>
    <row r="39" spans="1:14" ht="24" customHeight="1" thickBot="1">
      <c r="A39" s="12" t="s">
        <v>187</v>
      </c>
      <c r="B39" s="665"/>
      <c r="C39" s="666"/>
      <c r="D39" s="712" t="s">
        <v>3768</v>
      </c>
      <c r="E39" s="713"/>
      <c r="F39" s="690"/>
      <c r="G39" s="666"/>
      <c r="H39" s="243" t="s">
        <v>3769</v>
      </c>
      <c r="I39" s="687"/>
      <c r="J39" s="688"/>
      <c r="K39" s="688"/>
      <c r="L39" s="689"/>
      <c r="M39" s="129"/>
      <c r="N39" s="130"/>
    </row>
    <row r="40" spans="1:14" ht="12" customHeight="1">
      <c r="A40" s="694"/>
      <c r="B40" s="695"/>
      <c r="C40" s="695"/>
      <c r="D40" s="695"/>
      <c r="E40" s="695"/>
      <c r="F40" s="695"/>
      <c r="G40" s="695"/>
      <c r="H40" s="695"/>
      <c r="I40" s="695"/>
      <c r="J40" s="695"/>
      <c r="K40" s="695"/>
      <c r="L40" s="695"/>
    </row>
    <row r="41" spans="1:14" ht="24" customHeight="1">
      <c r="A41" s="696" t="s">
        <v>104</v>
      </c>
      <c r="B41" s="697"/>
      <c r="C41" s="697"/>
      <c r="D41" s="697"/>
      <c r="E41" s="698"/>
      <c r="F41" s="112"/>
      <c r="G41" s="113"/>
      <c r="H41" s="786" t="s">
        <v>53</v>
      </c>
      <c r="I41" s="787"/>
      <c r="J41" s="788"/>
      <c r="K41" s="784"/>
      <c r="L41" s="785"/>
    </row>
    <row r="42" spans="1:14" ht="12" customHeight="1">
      <c r="A42" s="728"/>
      <c r="B42" s="655"/>
      <c r="C42" s="655"/>
      <c r="D42" s="655"/>
      <c r="E42" s="655"/>
      <c r="F42" s="655"/>
      <c r="G42" s="655"/>
      <c r="H42" s="655"/>
      <c r="I42" s="655"/>
      <c r="J42" s="655"/>
      <c r="K42" s="655"/>
      <c r="L42" s="655"/>
    </row>
    <row r="43" spans="1:14" ht="24" customHeight="1">
      <c r="A43" s="727" t="s">
        <v>3538</v>
      </c>
      <c r="B43" s="682"/>
      <c r="C43" s="682"/>
      <c r="D43" s="682"/>
      <c r="E43" s="120" t="s">
        <v>224</v>
      </c>
      <c r="F43" s="71"/>
      <c r="G43" s="120" t="s">
        <v>134</v>
      </c>
      <c r="H43" s="71" t="s">
        <v>246</v>
      </c>
      <c r="I43" s="693"/>
      <c r="J43" s="655"/>
      <c r="K43" s="655"/>
      <c r="L43" s="655"/>
    </row>
    <row r="44" spans="1:14" ht="9" customHeight="1">
      <c r="A44" s="782"/>
      <c r="B44" s="655"/>
      <c r="C44" s="655"/>
      <c r="D44" s="655"/>
      <c r="E44" s="655"/>
      <c r="F44" s="655"/>
      <c r="G44" s="655"/>
      <c r="H44" s="655"/>
      <c r="I44" s="655"/>
      <c r="J44" s="655"/>
      <c r="K44" s="655"/>
      <c r="L44" s="655"/>
    </row>
    <row r="45" spans="1:14" ht="9" customHeight="1">
      <c r="A45" s="783" t="s">
        <v>3928</v>
      </c>
      <c r="B45" s="783"/>
      <c r="C45" s="655"/>
      <c r="D45" s="655"/>
      <c r="E45" s="655"/>
      <c r="F45" s="655"/>
      <c r="G45" s="655"/>
      <c r="H45" s="655"/>
      <c r="I45" s="655"/>
      <c r="J45" s="655"/>
      <c r="K45" s="655"/>
      <c r="L45" s="655"/>
    </row>
    <row r="46" spans="1:14" ht="10.5" customHeight="1">
      <c r="A46" s="722" t="s">
        <v>235</v>
      </c>
      <c r="B46" s="723"/>
      <c r="C46" s="723"/>
      <c r="D46" s="723"/>
      <c r="E46" s="723"/>
      <c r="F46" s="723"/>
      <c r="G46" s="723"/>
      <c r="H46" s="723"/>
      <c r="I46" s="723"/>
      <c r="J46" s="723"/>
      <c r="K46" s="723"/>
      <c r="L46" s="723"/>
    </row>
    <row r="47" spans="1:14" ht="10.5" customHeight="1">
      <c r="A47" s="722">
        <f>+ZAKL_DATA!A44</f>
        <v>0</v>
      </c>
      <c r="B47" s="723"/>
      <c r="C47" s="723"/>
      <c r="D47" s="723"/>
      <c r="E47" s="723"/>
      <c r="F47" s="723"/>
      <c r="G47" s="723"/>
      <c r="H47" s="723"/>
      <c r="I47" s="723"/>
      <c r="J47" s="723"/>
      <c r="K47" s="723"/>
      <c r="L47" s="723"/>
    </row>
    <row r="48" spans="1:14" ht="10.5" customHeight="1">
      <c r="A48" s="679">
        <v>1</v>
      </c>
      <c r="B48" s="655"/>
      <c r="C48" s="655"/>
      <c r="D48" s="655"/>
      <c r="E48" s="655"/>
      <c r="F48" s="655"/>
      <c r="G48" s="655"/>
      <c r="H48" s="655"/>
      <c r="I48" s="655"/>
      <c r="J48" s="655"/>
      <c r="K48" s="655"/>
      <c r="L48" s="655"/>
    </row>
    <row r="49" spans="1:12" ht="11.25" customHeight="1">
      <c r="A49" s="4"/>
      <c r="B49" s="4"/>
      <c r="E49" s="3"/>
      <c r="F49" s="3"/>
      <c r="G49" s="3"/>
    </row>
    <row r="50" spans="1:12">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hidden="1" customHeight="1">
      <c r="A55" s="2" t="s">
        <v>86</v>
      </c>
      <c r="B55" s="2"/>
      <c r="C55" s="2"/>
      <c r="D55" s="2"/>
      <c r="H55" s="2"/>
      <c r="I55" s="2"/>
      <c r="K55" s="2"/>
      <c r="L55" s="2"/>
    </row>
    <row r="56" spans="1:12" ht="12.95" hidden="1" customHeight="1">
      <c r="A56" s="2" t="s">
        <v>87</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1:12" ht="12.95" customHeight="1">
      <c r="E60" s="3"/>
      <c r="F60" s="3"/>
      <c r="G60" s="4"/>
      <c r="H60" s="2"/>
    </row>
    <row r="61" spans="1:12">
      <c r="E61" s="3"/>
      <c r="F61" s="3"/>
      <c r="G61" s="3"/>
    </row>
    <row r="62" spans="1:12">
      <c r="E62" s="3"/>
      <c r="F62" s="3"/>
      <c r="G62" s="3"/>
    </row>
    <row r="63" spans="1:12">
      <c r="E63" s="3"/>
      <c r="F63" s="3"/>
      <c r="G63" s="3"/>
    </row>
    <row r="64" spans="1:12">
      <c r="E64" s="3"/>
      <c r="F64" s="3"/>
      <c r="G64" s="3"/>
    </row>
    <row r="65" spans="5:7">
      <c r="E65" s="3"/>
      <c r="F65" s="3"/>
      <c r="G65" s="3"/>
    </row>
    <row r="66" spans="5:7">
      <c r="E66" s="3"/>
      <c r="F66" s="3"/>
      <c r="G66" s="3"/>
    </row>
    <row r="67" spans="5:7">
      <c r="E67" s="3"/>
      <c r="F67" s="3"/>
      <c r="G67" s="3"/>
    </row>
    <row r="68" spans="5:7">
      <c r="E68" s="3"/>
      <c r="F68" s="3"/>
    </row>
    <row r="69" spans="5:7">
      <c r="E69" s="3"/>
      <c r="F69" s="3"/>
    </row>
    <row r="70" spans="5:7">
      <c r="E70" s="3"/>
      <c r="F70" s="3"/>
    </row>
    <row r="71" spans="5:7">
      <c r="E71" s="3"/>
      <c r="F71" s="3"/>
    </row>
    <row r="72" spans="5:7">
      <c r="E72" s="3"/>
      <c r="F72" s="3"/>
    </row>
    <row r="204" spans="1:1">
      <c r="A204" s="101">
        <v>1</v>
      </c>
    </row>
  </sheetData>
  <sheetProtection algorithmName="SHA-512" hashValue="ZPvLHbqr1s4C3ybkC4B901JXqUaOaUhIuwm02H63+UX1qlLlVNXxHpmcvbXOxzgRnK559/FkbhCbygehQsR5zw==" saltValue="tKa1aoJJ2aQTcoq2HDCrnQ=="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honeticPr fontId="11" type="noConversion"/>
  <printOptions horizontalCentered="1" verticalCentered="1"/>
  <pageMargins left="0.39370078740157483" right="0.39370078740157483" top="0.39370078740157483" bottom="0.3937007874015748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154"/>
  <sheetViews>
    <sheetView workbookViewId="0">
      <selection activeCell="K16" sqref="K16"/>
    </sheetView>
  </sheetViews>
  <sheetFormatPr defaultRowHeight="12.75"/>
  <cols>
    <col min="1" max="1" width="5" customWidth="1"/>
    <col min="2" max="3" width="9.7109375" customWidth="1"/>
    <col min="4" max="4" width="23.28515625" customWidth="1"/>
    <col min="5" max="10" width="8.7109375" customWidth="1"/>
    <col min="11" max="11" width="9.140625" style="75"/>
    <col min="12" max="12" width="41.7109375" style="75" customWidth="1"/>
    <col min="13" max="18" width="14.7109375" style="75" customWidth="1"/>
    <col min="19" max="58" width="9.140625" style="75"/>
  </cols>
  <sheetData>
    <row r="1" spans="1:18">
      <c r="A1" s="679" t="s">
        <v>194</v>
      </c>
      <c r="B1" s="676"/>
      <c r="C1" s="676"/>
      <c r="D1" s="676"/>
      <c r="E1" s="676"/>
      <c r="F1" s="676"/>
      <c r="G1" s="655"/>
      <c r="H1" s="655"/>
      <c r="I1" s="655"/>
      <c r="J1" s="655"/>
    </row>
    <row r="2" spans="1:18" ht="13.5" thickBot="1">
      <c r="A2" s="820" t="s">
        <v>3446</v>
      </c>
      <c r="B2" s="821"/>
      <c r="C2" s="821"/>
      <c r="D2" s="821"/>
      <c r="E2" s="821"/>
      <c r="F2" s="821"/>
      <c r="G2" s="822"/>
      <c r="H2" s="822"/>
      <c r="I2" s="822"/>
      <c r="J2" s="822"/>
    </row>
    <row r="3" spans="1:18" ht="12" customHeight="1">
      <c r="A3" s="831"/>
      <c r="B3" s="832"/>
      <c r="C3" s="832"/>
      <c r="D3" s="833"/>
      <c r="E3" s="834" t="s">
        <v>142</v>
      </c>
      <c r="F3" s="834"/>
      <c r="G3" s="834"/>
      <c r="H3" s="834" t="s">
        <v>150</v>
      </c>
      <c r="I3" s="834"/>
      <c r="J3" s="835"/>
      <c r="L3" s="457" t="s">
        <v>3673</v>
      </c>
      <c r="M3" s="458" t="s">
        <v>3674</v>
      </c>
      <c r="N3" s="459" t="s">
        <v>3675</v>
      </c>
      <c r="O3" s="460" t="s">
        <v>3676</v>
      </c>
      <c r="P3" s="460" t="s">
        <v>3677</v>
      </c>
      <c r="Q3" s="460" t="s">
        <v>3678</v>
      </c>
      <c r="R3" s="461" t="s">
        <v>3679</v>
      </c>
    </row>
    <row r="4" spans="1:18" ht="15.95" customHeight="1">
      <c r="A4" s="17">
        <v>31</v>
      </c>
      <c r="B4" s="814" t="s">
        <v>192</v>
      </c>
      <c r="C4" s="815"/>
      <c r="D4" s="816"/>
      <c r="E4" s="826">
        <f>+M4</f>
        <v>0</v>
      </c>
      <c r="F4" s="827"/>
      <c r="G4" s="810"/>
      <c r="H4" s="801"/>
      <c r="I4" s="802"/>
      <c r="J4" s="803"/>
      <c r="L4" s="462" t="s">
        <v>3680</v>
      </c>
      <c r="M4" s="463">
        <f>+ROUND(SUM(N4:R4)+0.49,0)</f>
        <v>0</v>
      </c>
      <c r="N4" s="464">
        <v>0</v>
      </c>
      <c r="O4" s="465">
        <v>0</v>
      </c>
      <c r="P4" s="465">
        <v>0</v>
      </c>
      <c r="Q4" s="465">
        <v>0</v>
      </c>
      <c r="R4" s="466">
        <v>0</v>
      </c>
    </row>
    <row r="5" spans="1:18" ht="15.95" customHeight="1">
      <c r="A5" s="17">
        <v>32</v>
      </c>
      <c r="B5" s="814" t="s">
        <v>164</v>
      </c>
      <c r="C5" s="815"/>
      <c r="D5" s="816"/>
      <c r="E5" s="823"/>
      <c r="F5" s="824"/>
      <c r="G5" s="825"/>
      <c r="H5" s="801"/>
      <c r="I5" s="802"/>
      <c r="J5" s="803"/>
      <c r="L5" s="462" t="s">
        <v>3681</v>
      </c>
      <c r="M5" s="463">
        <f>+ROUND(SUM(N5:R5)+0.49,0)</f>
        <v>0</v>
      </c>
      <c r="N5" s="464">
        <v>0</v>
      </c>
      <c r="O5" s="465">
        <v>0</v>
      </c>
      <c r="P5" s="465">
        <v>0</v>
      </c>
      <c r="Q5" s="465">
        <v>0</v>
      </c>
      <c r="R5" s="466">
        <v>0</v>
      </c>
    </row>
    <row r="6" spans="1:18" ht="15.95" customHeight="1">
      <c r="A6" s="17">
        <v>33</v>
      </c>
      <c r="B6" s="814" t="s">
        <v>64</v>
      </c>
      <c r="C6" s="818"/>
      <c r="D6" s="819"/>
      <c r="E6" s="826">
        <v>0</v>
      </c>
      <c r="F6" s="827"/>
      <c r="G6" s="810"/>
      <c r="H6" s="801"/>
      <c r="I6" s="802"/>
      <c r="J6" s="803"/>
      <c r="L6" s="462" t="s">
        <v>3682</v>
      </c>
      <c r="M6" s="463">
        <f>+ROUND(SUM(N6:R6)+0.49,0)</f>
        <v>0</v>
      </c>
      <c r="N6" s="464">
        <v>0</v>
      </c>
      <c r="O6" s="465">
        <v>0</v>
      </c>
      <c r="P6" s="465">
        <v>0</v>
      </c>
      <c r="Q6" s="465">
        <v>0</v>
      </c>
      <c r="R6" s="466">
        <v>0</v>
      </c>
    </row>
    <row r="7" spans="1:18" ht="15.95" customHeight="1" thickBot="1">
      <c r="A7" s="17">
        <v>34</v>
      </c>
      <c r="B7" s="814" t="s">
        <v>3770</v>
      </c>
      <c r="C7" s="815"/>
      <c r="D7" s="816"/>
      <c r="E7" s="823">
        <f>+E4-E6</f>
        <v>0</v>
      </c>
      <c r="F7" s="824"/>
      <c r="G7" s="825"/>
      <c r="H7" s="801"/>
      <c r="I7" s="802"/>
      <c r="J7" s="803"/>
      <c r="L7" s="467" t="s">
        <v>3683</v>
      </c>
      <c r="M7" s="468">
        <f>+ROUND(SUM(N7:R7)+0.49,0)</f>
        <v>0</v>
      </c>
      <c r="N7" s="469">
        <v>0</v>
      </c>
      <c r="O7" s="470">
        <v>0</v>
      </c>
      <c r="P7" s="470">
        <v>0</v>
      </c>
      <c r="Q7" s="470">
        <v>0</v>
      </c>
      <c r="R7" s="471">
        <v>0</v>
      </c>
    </row>
    <row r="8" spans="1:18" ht="15.95" customHeight="1" thickBot="1">
      <c r="A8" s="16">
        <v>35</v>
      </c>
      <c r="B8" s="811" t="s">
        <v>3771</v>
      </c>
      <c r="C8" s="812"/>
      <c r="D8" s="813"/>
      <c r="E8" s="836">
        <v>0</v>
      </c>
      <c r="F8" s="837"/>
      <c r="G8" s="838"/>
      <c r="H8" s="839"/>
      <c r="I8" s="840"/>
      <c r="J8" s="841"/>
    </row>
    <row r="9" spans="1:18" ht="12.75" customHeight="1" thickBot="1">
      <c r="A9" s="820" t="s">
        <v>54</v>
      </c>
      <c r="B9" s="821"/>
      <c r="C9" s="821"/>
      <c r="D9" s="821"/>
      <c r="E9" s="821"/>
      <c r="F9" s="821"/>
      <c r="G9" s="822"/>
      <c r="H9" s="822"/>
      <c r="I9" s="822"/>
      <c r="J9" s="822"/>
    </row>
    <row r="10" spans="1:18" ht="15.95" customHeight="1">
      <c r="A10" s="116">
        <v>36</v>
      </c>
      <c r="B10" s="828" t="s">
        <v>55</v>
      </c>
      <c r="C10" s="829"/>
      <c r="D10" s="830"/>
      <c r="E10" s="842">
        <f>+E7</f>
        <v>0</v>
      </c>
      <c r="F10" s="843"/>
      <c r="G10" s="844"/>
      <c r="H10" s="848"/>
      <c r="I10" s="849"/>
      <c r="J10" s="850"/>
    </row>
    <row r="11" spans="1:18" ht="24" customHeight="1">
      <c r="A11" s="17">
        <v>37</v>
      </c>
      <c r="B11" s="814" t="s">
        <v>3591</v>
      </c>
      <c r="C11" s="815"/>
      <c r="D11" s="816"/>
      <c r="E11" s="823">
        <f>+'1Př1'!F23</f>
        <v>0</v>
      </c>
      <c r="F11" s="824"/>
      <c r="G11" s="825"/>
      <c r="H11" s="801"/>
      <c r="I11" s="802"/>
      <c r="J11" s="803"/>
    </row>
    <row r="12" spans="1:18" ht="15.95" customHeight="1">
      <c r="A12" s="17">
        <v>38</v>
      </c>
      <c r="B12" s="814" t="s">
        <v>221</v>
      </c>
      <c r="C12" s="818"/>
      <c r="D12" s="819"/>
      <c r="E12" s="826">
        <f>+ZAV!C32</f>
        <v>0</v>
      </c>
      <c r="F12" s="827"/>
      <c r="G12" s="810"/>
      <c r="H12" s="801"/>
      <c r="I12" s="802"/>
      <c r="J12" s="803"/>
    </row>
    <row r="13" spans="1:18" ht="24" customHeight="1">
      <c r="A13" s="17">
        <v>39</v>
      </c>
      <c r="B13" s="814" t="s">
        <v>3447</v>
      </c>
      <c r="C13" s="815"/>
      <c r="D13" s="816"/>
      <c r="E13" s="823">
        <f>+'2Př'!G16</f>
        <v>0</v>
      </c>
      <c r="F13" s="824"/>
      <c r="G13" s="825"/>
      <c r="H13" s="801"/>
      <c r="I13" s="802"/>
      <c r="J13" s="803"/>
    </row>
    <row r="14" spans="1:18" ht="24" customHeight="1">
      <c r="A14" s="17">
        <v>40</v>
      </c>
      <c r="B14" s="814" t="s">
        <v>195</v>
      </c>
      <c r="C14" s="818"/>
      <c r="D14" s="819"/>
      <c r="E14" s="823">
        <f>+'2Př'!G35</f>
        <v>0</v>
      </c>
      <c r="F14" s="824"/>
      <c r="G14" s="825"/>
      <c r="H14" s="801"/>
      <c r="I14" s="802"/>
      <c r="J14" s="803"/>
    </row>
    <row r="15" spans="1:18" ht="15.95" customHeight="1">
      <c r="A15" s="17">
        <v>41</v>
      </c>
      <c r="B15" s="814" t="s">
        <v>112</v>
      </c>
      <c r="C15" s="815"/>
      <c r="D15" s="816"/>
      <c r="E15" s="823">
        <f>SUM(E11:E14)</f>
        <v>0</v>
      </c>
      <c r="F15" s="824"/>
      <c r="G15" s="825"/>
      <c r="H15" s="801"/>
      <c r="I15" s="802"/>
      <c r="J15" s="803"/>
    </row>
    <row r="16" spans="1:18" ht="15.95" customHeight="1">
      <c r="A16" s="17">
        <v>42</v>
      </c>
      <c r="B16" s="868" t="s">
        <v>3772</v>
      </c>
      <c r="C16" s="773"/>
      <c r="D16" s="869"/>
      <c r="E16" s="858">
        <f>+E10+MAX(0,E15)</f>
        <v>0</v>
      </c>
      <c r="F16" s="859"/>
      <c r="G16" s="860"/>
      <c r="H16" s="801"/>
      <c r="I16" s="802"/>
      <c r="J16" s="803"/>
    </row>
    <row r="17" spans="1:61" ht="15.95" customHeight="1">
      <c r="A17" s="76">
        <v>43</v>
      </c>
      <c r="B17" s="814" t="s">
        <v>164</v>
      </c>
      <c r="C17" s="815"/>
      <c r="D17" s="816"/>
      <c r="E17" s="823"/>
      <c r="F17" s="824"/>
      <c r="G17" s="825"/>
      <c r="H17" s="801"/>
      <c r="I17" s="802"/>
      <c r="J17" s="803"/>
    </row>
    <row r="18" spans="1:61" ht="24" customHeight="1">
      <c r="A18" s="17">
        <v>44</v>
      </c>
      <c r="B18" s="814" t="s">
        <v>3773</v>
      </c>
      <c r="C18" s="818"/>
      <c r="D18" s="819"/>
      <c r="E18" s="826">
        <f>+'6Př'!E20</f>
        <v>0</v>
      </c>
      <c r="F18" s="827"/>
      <c r="G18" s="810"/>
      <c r="H18" s="801"/>
      <c r="I18" s="802"/>
      <c r="J18" s="803"/>
    </row>
    <row r="19" spans="1:61" ht="15.95" customHeight="1" thickBot="1">
      <c r="A19" s="16">
        <v>45</v>
      </c>
      <c r="B19" s="811" t="s">
        <v>3448</v>
      </c>
      <c r="C19" s="812"/>
      <c r="D19" s="813"/>
      <c r="E19" s="855">
        <f>IF(OR(E16&gt;300000,+E7+'1Př1'!F11+'1Př1'!A27+'2Př'!G10+'2Př'!D28&gt;800000),T("LIMIT"),+E16-E18)</f>
        <v>0</v>
      </c>
      <c r="F19" s="856"/>
      <c r="G19" s="857"/>
      <c r="H19" s="839"/>
      <c r="I19" s="840"/>
      <c r="J19" s="841"/>
      <c r="K19" s="2354" t="str">
        <f>+IF(EXACT(E19,"LIMIT"),"Neomezenou verzi této šablony zakoupíte zde:"," ")</f>
        <v xml:space="preserve"> </v>
      </c>
    </row>
    <row r="20" spans="1:61" ht="15" customHeight="1" thickBot="1">
      <c r="A20" s="861" t="s">
        <v>52</v>
      </c>
      <c r="B20" s="675"/>
      <c r="C20" s="675"/>
      <c r="D20" s="675"/>
      <c r="E20" s="675"/>
      <c r="F20" s="675"/>
      <c r="G20" s="675"/>
      <c r="H20" s="675"/>
      <c r="I20" s="675"/>
      <c r="J20" s="675"/>
      <c r="K20" s="2355" t="str">
        <f>+IF(EXACT(E19,"LIMIT"),"http://business.center.cz/business/sablony/s3-priznani-k-dani-z-prijmu-fyzickych-osob.aspx"," ")</f>
        <v xml:space="preserve"> </v>
      </c>
      <c r="L20" s="655"/>
      <c r="M20" s="655"/>
      <c r="N20" s="655"/>
      <c r="O20" s="655"/>
    </row>
    <row r="21" spans="1:61" ht="22.5" customHeight="1">
      <c r="A21" s="863" t="s">
        <v>3929</v>
      </c>
      <c r="B21" s="864"/>
      <c r="C21" s="864"/>
      <c r="D21" s="865"/>
      <c r="E21" s="117" t="s">
        <v>220</v>
      </c>
      <c r="F21" s="845"/>
      <c r="G21" s="846"/>
      <c r="H21" s="117" t="s">
        <v>220</v>
      </c>
      <c r="I21" s="845"/>
      <c r="J21" s="847"/>
    </row>
    <row r="22" spans="1:61" ht="15.95" customHeight="1">
      <c r="A22" s="42">
        <v>46</v>
      </c>
      <c r="B22" s="808" t="s">
        <v>3930</v>
      </c>
      <c r="C22" s="808"/>
      <c r="D22" s="808"/>
      <c r="E22" s="145"/>
      <c r="F22" s="809">
        <v>0</v>
      </c>
      <c r="G22" s="810"/>
      <c r="H22" s="132"/>
      <c r="I22" s="804"/>
      <c r="J22" s="851"/>
      <c r="L22" s="75" t="str">
        <f>+IF(OR(AND(AND(0&lt;F22,F22&lt;E16*0.02),AND(0&lt;F22,F22&lt;1000)),F22&gt;E16*0.3),"CHYBA"," ")</f>
        <v xml:space="preserve"> </v>
      </c>
    </row>
    <row r="23" spans="1:61" ht="15.95" customHeight="1">
      <c r="A23" s="42">
        <v>47</v>
      </c>
      <c r="B23" s="808" t="s">
        <v>3931</v>
      </c>
      <c r="C23" s="808"/>
      <c r="D23" s="866"/>
      <c r="E23" s="91"/>
      <c r="F23" s="809">
        <v>0</v>
      </c>
      <c r="G23" s="810"/>
      <c r="H23" s="132"/>
      <c r="I23" s="804"/>
      <c r="J23" s="805"/>
      <c r="L23" s="75" t="str">
        <f>+IF(F23&gt;300000,"CHYBA"," ")</f>
        <v xml:space="preserve"> </v>
      </c>
    </row>
    <row r="24" spans="1:61" ht="24" customHeight="1">
      <c r="A24" s="42">
        <v>48</v>
      </c>
      <c r="B24" s="806" t="s">
        <v>3932</v>
      </c>
      <c r="C24" s="806"/>
      <c r="D24" s="807"/>
      <c r="E24" s="145"/>
      <c r="F24" s="809">
        <v>0</v>
      </c>
      <c r="G24" s="810"/>
      <c r="H24" s="132"/>
      <c r="I24" s="804"/>
      <c r="J24" s="805"/>
      <c r="L24" s="75" t="str">
        <f>+IF(F24&gt;24000,"CHYBA"," ")</f>
        <v xml:space="preserve"> </v>
      </c>
    </row>
    <row r="25" spans="1:61" ht="15.95" customHeight="1">
      <c r="A25" s="42">
        <v>49</v>
      </c>
      <c r="B25" s="808" t="s">
        <v>3933</v>
      </c>
      <c r="C25" s="808"/>
      <c r="D25" s="808"/>
      <c r="E25" s="145"/>
      <c r="F25" s="809">
        <v>0</v>
      </c>
      <c r="G25" s="810"/>
      <c r="H25" s="132"/>
      <c r="I25" s="804"/>
      <c r="J25" s="805"/>
      <c r="L25" s="75" t="str">
        <f>+IF(F25&gt;24000,"CHYBA"," ")</f>
        <v xml:space="preserve"> </v>
      </c>
    </row>
    <row r="26" spans="1:61" ht="15.95" customHeight="1">
      <c r="A26" s="42">
        <v>50</v>
      </c>
      <c r="B26" s="808" t="s">
        <v>3934</v>
      </c>
      <c r="C26" s="808"/>
      <c r="D26" s="808"/>
      <c r="E26" s="145"/>
      <c r="F26" s="809">
        <v>0</v>
      </c>
      <c r="G26" s="810"/>
      <c r="H26" s="132"/>
      <c r="I26" s="804"/>
      <c r="J26" s="805"/>
      <c r="L26" s="75" t="str">
        <f>+IF(OR(F26&gt;3000,F26&gt;0.015*E4),"CHYBA"," ")</f>
        <v xml:space="preserve"> </v>
      </c>
    </row>
    <row r="27" spans="1:61" ht="15.95" customHeight="1">
      <c r="A27" s="42">
        <v>51</v>
      </c>
      <c r="B27" s="806" t="s">
        <v>3935</v>
      </c>
      <c r="C27" s="806"/>
      <c r="D27" s="806"/>
      <c r="E27" s="145"/>
      <c r="F27" s="809">
        <v>0</v>
      </c>
      <c r="G27" s="810"/>
      <c r="H27" s="132"/>
      <c r="I27" s="804"/>
      <c r="J27" s="805"/>
      <c r="L27" s="75" t="str">
        <f>+IF(F27&gt;10000,"CHYBA"," ")</f>
        <v xml:space="preserve"> </v>
      </c>
    </row>
    <row r="28" spans="1:61" ht="15.95" customHeight="1">
      <c r="A28" s="42">
        <v>52</v>
      </c>
      <c r="B28" s="808" t="s">
        <v>3578</v>
      </c>
      <c r="C28" s="808"/>
      <c r="D28" s="808"/>
      <c r="E28" s="145"/>
      <c r="F28" s="809">
        <v>0</v>
      </c>
      <c r="G28" s="810"/>
      <c r="H28" s="132"/>
      <c r="I28" s="804"/>
      <c r="J28" s="805"/>
    </row>
    <row r="29" spans="1:61" ht="15.95" customHeight="1" thickBot="1">
      <c r="A29" s="43">
        <v>53</v>
      </c>
      <c r="B29" s="808" t="s">
        <v>3579</v>
      </c>
      <c r="C29" s="808"/>
      <c r="D29" s="808"/>
      <c r="E29" s="145"/>
      <c r="F29" s="867">
        <v>0</v>
      </c>
      <c r="G29" s="838"/>
      <c r="H29" s="132"/>
      <c r="I29" s="804"/>
      <c r="J29" s="805"/>
    </row>
    <row r="30" spans="1:61" ht="6" customHeight="1" thickBot="1">
      <c r="A30" s="870"/>
      <c r="B30" s="871"/>
      <c r="C30" s="871"/>
      <c r="D30" s="871"/>
      <c r="E30" s="871"/>
      <c r="F30" s="871"/>
      <c r="G30" s="871"/>
      <c r="H30" s="871"/>
      <c r="I30" s="871"/>
      <c r="J30" s="871"/>
    </row>
    <row r="31" spans="1:61" ht="24" customHeight="1">
      <c r="A31" s="118">
        <v>54</v>
      </c>
      <c r="B31" s="872" t="s">
        <v>3774</v>
      </c>
      <c r="C31" s="872"/>
      <c r="D31" s="872"/>
      <c r="E31" s="873"/>
      <c r="F31" s="874">
        <f>+SUM('DAP2'!F22:G29)</f>
        <v>0</v>
      </c>
      <c r="G31" s="846"/>
      <c r="H31" s="852"/>
      <c r="I31" s="853"/>
      <c r="J31" s="854"/>
      <c r="BG31" s="75"/>
      <c r="BH31" s="75"/>
      <c r="BI31" s="75"/>
    </row>
    <row r="32" spans="1:61" ht="24" customHeight="1">
      <c r="A32" s="44">
        <v>55</v>
      </c>
      <c r="B32" s="806" t="s">
        <v>3449</v>
      </c>
      <c r="C32" s="815"/>
      <c r="D32" s="815"/>
      <c r="E32" s="816"/>
      <c r="F32" s="875">
        <f>MAX(+'DAP2'!E19-'DAP2'!F31,0)</f>
        <v>0</v>
      </c>
      <c r="G32" s="876"/>
      <c r="H32" s="804"/>
      <c r="I32" s="773"/>
      <c r="J32" s="817"/>
      <c r="BG32" s="75"/>
      <c r="BH32" s="75"/>
      <c r="BI32" s="75"/>
    </row>
    <row r="33" spans="1:61" ht="15" customHeight="1">
      <c r="A33" s="42">
        <v>56</v>
      </c>
      <c r="B33" s="808" t="s">
        <v>3558</v>
      </c>
      <c r="C33" s="808"/>
      <c r="D33" s="808"/>
      <c r="E33" s="866"/>
      <c r="F33" s="875">
        <f>+FLOOR(F32,100)</f>
        <v>0</v>
      </c>
      <c r="G33" s="877"/>
      <c r="H33" s="804"/>
      <c r="I33" s="773"/>
      <c r="J33" s="817"/>
      <c r="BG33" s="75"/>
      <c r="BH33" s="75"/>
      <c r="BI33" s="75"/>
    </row>
    <row r="34" spans="1:61" ht="15" customHeight="1" thickBot="1">
      <c r="A34" s="43">
        <v>57</v>
      </c>
      <c r="B34" s="880" t="s">
        <v>113</v>
      </c>
      <c r="C34" s="880"/>
      <c r="D34" s="880"/>
      <c r="E34" s="881"/>
      <c r="F34" s="882">
        <f>+F33*0.15+MAX(F33-1582812,0)*0.08</f>
        <v>0</v>
      </c>
      <c r="G34" s="883"/>
      <c r="H34" s="887"/>
      <c r="I34" s="700"/>
      <c r="J34" s="888"/>
      <c r="BG34" s="75"/>
      <c r="BH34" s="75"/>
      <c r="BI34" s="75"/>
    </row>
    <row r="35" spans="1:61" ht="15" customHeight="1" thickBot="1">
      <c r="A35" s="892" t="s">
        <v>289</v>
      </c>
      <c r="B35" s="893"/>
      <c r="C35" s="893"/>
      <c r="D35" s="893"/>
      <c r="E35" s="894"/>
      <c r="F35" s="894"/>
      <c r="G35" s="695"/>
      <c r="H35" s="695"/>
      <c r="I35" s="695"/>
      <c r="J35" s="695"/>
    </row>
    <row r="36" spans="1:61" ht="24" customHeight="1">
      <c r="A36" s="118">
        <v>58</v>
      </c>
      <c r="B36" s="872" t="s">
        <v>3450</v>
      </c>
      <c r="C36" s="872"/>
      <c r="D36" s="872"/>
      <c r="E36" s="873"/>
      <c r="F36" s="897">
        <f>+IF(OR(+'3Př'!F27+'3Př'!F30&gt;0),'3Př'!F30,F34)</f>
        <v>0</v>
      </c>
      <c r="G36" s="898"/>
      <c r="H36" s="852"/>
      <c r="I36" s="853"/>
      <c r="J36" s="854"/>
      <c r="BG36" s="75"/>
      <c r="BH36" s="75"/>
      <c r="BI36" s="75"/>
    </row>
    <row r="37" spans="1:61" ht="15.95" customHeight="1">
      <c r="A37" s="42">
        <v>59</v>
      </c>
      <c r="B37" s="878" t="s">
        <v>164</v>
      </c>
      <c r="C37" s="878"/>
      <c r="D37" s="878"/>
      <c r="E37" s="879"/>
      <c r="F37" s="899"/>
      <c r="G37" s="900"/>
      <c r="H37" s="804"/>
      <c r="I37" s="773"/>
      <c r="J37" s="817"/>
      <c r="BG37" s="75"/>
      <c r="BH37" s="75"/>
      <c r="BI37" s="75"/>
    </row>
    <row r="38" spans="1:61" ht="15" customHeight="1">
      <c r="A38" s="42">
        <v>60</v>
      </c>
      <c r="B38" s="806" t="s">
        <v>3775</v>
      </c>
      <c r="C38" s="806"/>
      <c r="D38" s="806"/>
      <c r="E38" s="807"/>
      <c r="F38" s="809">
        <f>+IF(F34=F36,CEILING(F36,1),CEILING(F36,1))</f>
        <v>0</v>
      </c>
      <c r="G38" s="876"/>
      <c r="H38" s="804"/>
      <c r="I38" s="773"/>
      <c r="J38" s="817"/>
      <c r="BG38" s="75"/>
      <c r="BH38" s="75"/>
      <c r="BI38" s="75"/>
    </row>
    <row r="39" spans="1:61" ht="24" customHeight="1" thickBot="1">
      <c r="A39" s="539">
        <v>61</v>
      </c>
      <c r="B39" s="895" t="s">
        <v>56</v>
      </c>
      <c r="C39" s="895"/>
      <c r="D39" s="895"/>
      <c r="E39" s="896"/>
      <c r="F39" s="882">
        <f>IF('DAP2'!E15&lt;0,-'DAP2'!E15,0)</f>
        <v>0</v>
      </c>
      <c r="G39" s="886"/>
      <c r="H39" s="887"/>
      <c r="I39" s="700"/>
      <c r="J39" s="888"/>
      <c r="BG39" s="75"/>
      <c r="BH39" s="75"/>
      <c r="BI39" s="75"/>
    </row>
    <row r="40" spans="1:61" ht="15" customHeight="1" thickBot="1">
      <c r="A40" s="889" t="s">
        <v>308</v>
      </c>
      <c r="B40" s="890"/>
      <c r="C40" s="890"/>
      <c r="D40" s="890"/>
      <c r="E40" s="890"/>
      <c r="F40" s="890"/>
      <c r="G40" s="695"/>
      <c r="H40" s="695"/>
      <c r="I40" s="695"/>
      <c r="J40" s="695"/>
    </row>
    <row r="41" spans="1:61" ht="15.95" customHeight="1">
      <c r="A41" s="118">
        <v>62</v>
      </c>
      <c r="B41" s="872" t="s">
        <v>196</v>
      </c>
      <c r="C41" s="872"/>
      <c r="D41" s="872"/>
      <c r="E41" s="873"/>
      <c r="F41" s="891">
        <v>0</v>
      </c>
      <c r="G41" s="846"/>
      <c r="H41" s="852"/>
      <c r="I41" s="853"/>
      <c r="J41" s="854"/>
    </row>
    <row r="42" spans="1:61" ht="15.95" customHeight="1">
      <c r="A42" s="42" t="s">
        <v>3877</v>
      </c>
      <c r="B42" s="806" t="s">
        <v>3878</v>
      </c>
      <c r="C42" s="806"/>
      <c r="D42" s="806"/>
      <c r="E42" s="807"/>
      <c r="F42" s="809">
        <v>0</v>
      </c>
      <c r="G42" s="876"/>
      <c r="H42" s="804"/>
      <c r="I42" s="773"/>
      <c r="J42" s="817"/>
    </row>
    <row r="43" spans="1:61" ht="15.95" customHeight="1" thickBot="1">
      <c r="A43" s="43">
        <v>63</v>
      </c>
      <c r="B43" s="884" t="s">
        <v>200</v>
      </c>
      <c r="C43" s="884"/>
      <c r="D43" s="884"/>
      <c r="E43" s="885"/>
      <c r="F43" s="867">
        <v>0</v>
      </c>
      <c r="G43" s="886"/>
      <c r="H43" s="887"/>
      <c r="I43" s="700"/>
      <c r="J43" s="888"/>
    </row>
    <row r="44" spans="1:61" ht="24" customHeight="1" thickBot="1">
      <c r="A44" s="799" t="s">
        <v>3451</v>
      </c>
      <c r="B44" s="800"/>
      <c r="C44" s="800"/>
      <c r="D44" s="800"/>
      <c r="E44" s="800"/>
      <c r="F44" s="800"/>
      <c r="G44" s="800"/>
      <c r="H44" s="800"/>
      <c r="I44" s="800"/>
      <c r="J44" s="800"/>
    </row>
    <row r="45" spans="1:61" ht="24" customHeight="1" thickBot="1">
      <c r="A45" s="789" t="s">
        <v>32</v>
      </c>
      <c r="B45" s="790"/>
      <c r="C45" s="791"/>
      <c r="D45" s="792"/>
      <c r="E45" s="793"/>
      <c r="F45" s="794" t="s">
        <v>141</v>
      </c>
      <c r="G45" s="795"/>
      <c r="H45" s="796"/>
      <c r="I45" s="797"/>
      <c r="J45" s="798"/>
    </row>
    <row r="46" spans="1:61" ht="12" customHeight="1">
      <c r="A46" s="862">
        <v>2</v>
      </c>
      <c r="B46" s="862"/>
      <c r="C46" s="862"/>
      <c r="D46" s="862"/>
      <c r="E46" s="862"/>
      <c r="F46" s="862"/>
      <c r="G46" s="862"/>
      <c r="H46" s="862"/>
      <c r="I46" s="862"/>
      <c r="J46" s="862"/>
    </row>
    <row r="47" spans="1:61">
      <c r="A47" s="75"/>
      <c r="B47" s="75"/>
      <c r="C47" s="75"/>
      <c r="D47" s="75"/>
      <c r="E47" s="75"/>
      <c r="F47" s="75"/>
      <c r="G47" s="75"/>
      <c r="H47" s="75"/>
      <c r="I47" s="75"/>
      <c r="J47" s="75"/>
    </row>
    <row r="48" spans="1:61">
      <c r="A48" s="75"/>
      <c r="B48" s="75"/>
      <c r="C48" s="75"/>
      <c r="D48" s="75"/>
      <c r="E48" s="75"/>
      <c r="F48" s="75"/>
      <c r="G48" s="75"/>
      <c r="H48" s="75"/>
      <c r="I48" s="75"/>
      <c r="J48" s="75"/>
    </row>
    <row r="49" spans="1:10">
      <c r="A49" s="75"/>
      <c r="B49" s="75"/>
      <c r="C49" s="75"/>
      <c r="D49" s="75"/>
      <c r="E49" s="75"/>
      <c r="F49" s="75"/>
      <c r="G49" s="75"/>
      <c r="H49" s="75"/>
      <c r="I49" s="75"/>
      <c r="J49" s="75"/>
    </row>
    <row r="50" spans="1:10">
      <c r="A50" s="75"/>
      <c r="B50" s="75"/>
      <c r="C50" s="75"/>
      <c r="D50" s="75"/>
      <c r="E50" s="75"/>
      <c r="F50" s="75"/>
      <c r="G50" s="75"/>
      <c r="H50" s="75"/>
      <c r="I50" s="75"/>
      <c r="J50" s="75"/>
    </row>
    <row r="51" spans="1:10">
      <c r="A51" s="75"/>
      <c r="B51" s="75"/>
      <c r="C51" s="75"/>
      <c r="D51" s="75"/>
      <c r="E51" s="75"/>
      <c r="F51" s="75"/>
      <c r="G51" s="75"/>
      <c r="H51" s="75"/>
      <c r="I51" s="75"/>
      <c r="J51" s="75"/>
    </row>
    <row r="52" spans="1:10">
      <c r="A52" s="75"/>
      <c r="B52" s="75"/>
      <c r="C52" s="75"/>
      <c r="D52" s="75"/>
      <c r="E52" s="75"/>
      <c r="F52" s="75"/>
      <c r="G52" s="75"/>
      <c r="H52" s="75"/>
      <c r="I52" s="75"/>
      <c r="J52" s="75"/>
    </row>
    <row r="53" spans="1:10">
      <c r="A53" s="75"/>
      <c r="B53" s="75"/>
      <c r="C53" s="75"/>
      <c r="D53" s="75"/>
      <c r="E53" s="75"/>
      <c r="F53" s="75"/>
      <c r="G53" s="75"/>
      <c r="H53" s="75"/>
      <c r="I53" s="75"/>
      <c r="J53" s="75"/>
    </row>
    <row r="54" spans="1:10">
      <c r="A54" s="75"/>
      <c r="B54" s="75"/>
      <c r="C54" s="75"/>
      <c r="D54" s="75"/>
      <c r="E54" s="75"/>
      <c r="F54" s="75"/>
      <c r="G54" s="75"/>
      <c r="H54" s="75"/>
      <c r="I54" s="75"/>
      <c r="J54" s="75"/>
    </row>
    <row r="55" spans="1:10">
      <c r="A55" s="75"/>
      <c r="B55" s="75"/>
      <c r="C55" s="75"/>
      <c r="D55" s="75"/>
      <c r="E55" s="75"/>
      <c r="F55" s="75"/>
      <c r="G55" s="75"/>
      <c r="H55" s="75"/>
      <c r="I55" s="75"/>
      <c r="J55" s="75"/>
    </row>
    <row r="56" spans="1:10">
      <c r="A56" s="75"/>
      <c r="B56" s="75"/>
      <c r="C56" s="75"/>
      <c r="D56" s="75"/>
      <c r="E56" s="75"/>
      <c r="F56" s="75"/>
      <c r="G56" s="75"/>
      <c r="H56" s="75"/>
      <c r="I56" s="75"/>
      <c r="J56" s="75"/>
    </row>
    <row r="57" spans="1:10">
      <c r="A57" s="75"/>
      <c r="B57" s="75"/>
      <c r="C57" s="75"/>
      <c r="D57" s="75"/>
      <c r="E57" s="75"/>
      <c r="F57" s="75"/>
      <c r="G57" s="75"/>
      <c r="H57" s="75"/>
      <c r="I57" s="75"/>
      <c r="J57" s="75"/>
    </row>
    <row r="58" spans="1:10">
      <c r="A58" s="75"/>
      <c r="B58" s="75"/>
      <c r="C58" s="75"/>
      <c r="D58" s="75"/>
      <c r="E58" s="75"/>
      <c r="F58" s="75"/>
      <c r="G58" s="75"/>
      <c r="H58" s="75"/>
      <c r="I58" s="75"/>
      <c r="J58" s="75"/>
    </row>
    <row r="59" spans="1:10">
      <c r="A59" s="75"/>
      <c r="B59" s="75"/>
      <c r="C59" s="75"/>
      <c r="D59" s="75"/>
      <c r="E59" s="75"/>
      <c r="F59" s="75"/>
      <c r="G59" s="75"/>
      <c r="H59" s="75"/>
      <c r="I59" s="75"/>
      <c r="J59" s="75"/>
    </row>
    <row r="60" spans="1:10">
      <c r="A60" s="75"/>
      <c r="B60" s="75"/>
      <c r="C60" s="75"/>
      <c r="D60" s="75"/>
      <c r="E60" s="75"/>
      <c r="F60" s="75"/>
      <c r="G60" s="75"/>
      <c r="H60" s="75"/>
      <c r="I60" s="75"/>
      <c r="J60" s="75"/>
    </row>
    <row r="61" spans="1:10">
      <c r="A61" s="75"/>
      <c r="B61" s="75"/>
      <c r="C61" s="75"/>
      <c r="D61" s="75"/>
      <c r="E61" s="75"/>
      <c r="F61" s="75"/>
      <c r="G61" s="75"/>
      <c r="H61" s="75"/>
      <c r="I61" s="75"/>
      <c r="J61" s="75"/>
    </row>
    <row r="62" spans="1:10">
      <c r="A62" s="75"/>
      <c r="B62" s="75"/>
      <c r="C62" s="75"/>
      <c r="D62" s="75"/>
      <c r="E62" s="75"/>
      <c r="F62" s="75"/>
      <c r="G62" s="75"/>
      <c r="H62" s="75"/>
      <c r="I62" s="75"/>
      <c r="J62" s="75"/>
    </row>
    <row r="63" spans="1:10">
      <c r="A63" s="75"/>
      <c r="B63" s="75"/>
      <c r="C63" s="75"/>
      <c r="D63" s="75"/>
      <c r="E63" s="75"/>
      <c r="F63" s="75"/>
      <c r="G63" s="75"/>
      <c r="H63" s="75"/>
      <c r="I63" s="75"/>
      <c r="J63" s="75"/>
    </row>
    <row r="64" spans="1:10">
      <c r="A64" s="75"/>
      <c r="B64" s="75"/>
      <c r="C64" s="75"/>
      <c r="D64" s="75"/>
      <c r="E64" s="75"/>
      <c r="F64" s="75"/>
      <c r="G64" s="75"/>
      <c r="H64" s="75"/>
      <c r="I64" s="75"/>
      <c r="J64" s="75"/>
    </row>
    <row r="65" spans="1:10">
      <c r="A65" s="75"/>
      <c r="B65" s="75"/>
      <c r="C65" s="75"/>
      <c r="D65" s="75"/>
      <c r="E65" s="75"/>
      <c r="F65" s="75"/>
      <c r="G65" s="75"/>
      <c r="H65" s="75"/>
      <c r="I65" s="75"/>
      <c r="J65" s="75"/>
    </row>
    <row r="66" spans="1:10">
      <c r="A66" s="75"/>
      <c r="B66" s="75"/>
      <c r="C66" s="75"/>
      <c r="D66" s="75"/>
      <c r="E66" s="75"/>
      <c r="F66" s="75"/>
      <c r="G66" s="75"/>
      <c r="H66" s="75"/>
      <c r="I66" s="75"/>
      <c r="J66" s="75"/>
    </row>
    <row r="67" spans="1:10">
      <c r="A67" s="75"/>
      <c r="B67" s="75"/>
      <c r="C67" s="75"/>
      <c r="D67" s="75"/>
      <c r="E67" s="75"/>
      <c r="F67" s="75"/>
      <c r="G67" s="75"/>
      <c r="H67" s="75"/>
      <c r="I67" s="75"/>
      <c r="J67" s="75"/>
    </row>
    <row r="68" spans="1:10">
      <c r="A68" s="75"/>
      <c r="B68" s="75"/>
      <c r="C68" s="75"/>
      <c r="D68" s="75"/>
      <c r="E68" s="75"/>
      <c r="F68" s="75"/>
      <c r="G68" s="75"/>
      <c r="H68" s="75"/>
      <c r="I68" s="75"/>
      <c r="J68" s="75"/>
    </row>
    <row r="69" spans="1:10">
      <c r="A69" s="75"/>
      <c r="B69" s="75"/>
      <c r="C69" s="75"/>
      <c r="D69" s="75"/>
      <c r="E69" s="75"/>
      <c r="F69" s="75"/>
      <c r="G69" s="75"/>
      <c r="H69" s="75"/>
      <c r="I69" s="75"/>
      <c r="J69" s="75"/>
    </row>
    <row r="70" spans="1:10">
      <c r="A70" s="75"/>
      <c r="B70" s="75"/>
      <c r="C70" s="75"/>
      <c r="D70" s="75"/>
      <c r="E70" s="75"/>
      <c r="F70" s="75"/>
      <c r="G70" s="75"/>
      <c r="H70" s="75"/>
      <c r="I70" s="75"/>
      <c r="J70" s="75"/>
    </row>
    <row r="71" spans="1:10">
      <c r="A71" s="75"/>
      <c r="B71" s="75"/>
      <c r="C71" s="75"/>
      <c r="D71" s="75"/>
      <c r="E71" s="75"/>
      <c r="F71" s="75"/>
      <c r="G71" s="75"/>
      <c r="H71" s="75"/>
      <c r="I71" s="75"/>
      <c r="J71" s="75"/>
    </row>
    <row r="72" spans="1:10">
      <c r="A72" s="75"/>
      <c r="B72" s="75"/>
      <c r="C72" s="75"/>
      <c r="D72" s="75"/>
      <c r="E72" s="75"/>
      <c r="F72" s="75"/>
      <c r="G72" s="75"/>
      <c r="H72" s="75"/>
      <c r="I72" s="75"/>
      <c r="J72" s="75"/>
    </row>
    <row r="73" spans="1:10">
      <c r="A73" s="75"/>
      <c r="B73" s="75"/>
      <c r="C73" s="75"/>
      <c r="D73" s="75"/>
      <c r="E73" s="75"/>
      <c r="F73" s="75"/>
      <c r="G73" s="75"/>
      <c r="H73" s="75"/>
      <c r="I73" s="75"/>
      <c r="J73" s="75"/>
    </row>
    <row r="74" spans="1:10">
      <c r="A74" s="75"/>
      <c r="B74" s="75"/>
      <c r="C74" s="75"/>
      <c r="D74" s="75"/>
      <c r="E74" s="75"/>
      <c r="F74" s="75"/>
      <c r="G74" s="75"/>
      <c r="H74" s="75"/>
      <c r="I74" s="75"/>
      <c r="J74" s="75"/>
    </row>
    <row r="75" spans="1:10">
      <c r="A75" s="75"/>
      <c r="B75" s="75"/>
      <c r="C75" s="75"/>
      <c r="D75" s="75"/>
      <c r="E75" s="75"/>
      <c r="F75" s="75"/>
      <c r="G75" s="75"/>
      <c r="H75" s="75"/>
      <c r="I75" s="75"/>
      <c r="J75" s="75"/>
    </row>
    <row r="76" spans="1:10">
      <c r="A76" s="75"/>
      <c r="B76" s="75"/>
      <c r="C76" s="75"/>
      <c r="D76" s="75"/>
      <c r="E76" s="75"/>
      <c r="F76" s="75"/>
      <c r="G76" s="75"/>
      <c r="H76" s="75"/>
      <c r="I76" s="75"/>
      <c r="J76" s="75"/>
    </row>
    <row r="77" spans="1:10">
      <c r="A77" s="75"/>
      <c r="B77" s="75"/>
      <c r="C77" s="75"/>
      <c r="D77" s="75"/>
      <c r="E77" s="75"/>
      <c r="F77" s="75"/>
      <c r="G77" s="75"/>
      <c r="H77" s="75"/>
      <c r="I77" s="75"/>
      <c r="J77" s="75"/>
    </row>
    <row r="78" spans="1:10">
      <c r="A78" s="75"/>
      <c r="B78" s="75"/>
      <c r="C78" s="75"/>
      <c r="D78" s="75"/>
      <c r="E78" s="75"/>
      <c r="F78" s="75"/>
      <c r="G78" s="75"/>
      <c r="H78" s="75"/>
      <c r="I78" s="75"/>
      <c r="J78" s="75"/>
    </row>
    <row r="79" spans="1:10">
      <c r="A79" s="75"/>
      <c r="B79" s="75"/>
      <c r="C79" s="75"/>
      <c r="D79" s="75"/>
      <c r="E79" s="75"/>
      <c r="F79" s="75"/>
      <c r="G79" s="75"/>
      <c r="H79" s="75"/>
      <c r="I79" s="75"/>
      <c r="J79" s="75"/>
    </row>
    <row r="80" spans="1:10">
      <c r="A80" s="75"/>
      <c r="B80" s="75"/>
      <c r="C80" s="75"/>
      <c r="D80" s="75"/>
      <c r="E80" s="75"/>
      <c r="F80" s="75"/>
      <c r="G80" s="75"/>
      <c r="H80" s="75"/>
      <c r="I80" s="75"/>
      <c r="J80" s="75"/>
    </row>
    <row r="81" spans="1:10">
      <c r="A81" s="75"/>
      <c r="B81" s="75"/>
      <c r="C81" s="75"/>
      <c r="D81" s="75"/>
      <c r="E81" s="75"/>
      <c r="F81" s="75"/>
      <c r="G81" s="75"/>
      <c r="H81" s="75"/>
      <c r="I81" s="75"/>
      <c r="J81" s="75"/>
    </row>
    <row r="82" spans="1:10">
      <c r="A82" s="75"/>
      <c r="B82" s="75"/>
      <c r="C82" s="75"/>
      <c r="D82" s="75"/>
      <c r="E82" s="75"/>
      <c r="F82" s="75"/>
      <c r="G82" s="75"/>
      <c r="H82" s="75"/>
      <c r="I82" s="75"/>
      <c r="J82" s="75"/>
    </row>
    <row r="83" spans="1:10">
      <c r="A83" s="75"/>
      <c r="B83" s="75"/>
      <c r="C83" s="75"/>
      <c r="D83" s="75"/>
      <c r="E83" s="75"/>
      <c r="F83" s="75"/>
      <c r="G83" s="75"/>
      <c r="H83" s="75"/>
      <c r="I83" s="75"/>
      <c r="J83" s="75"/>
    </row>
    <row r="84" spans="1:10">
      <c r="A84" s="75"/>
      <c r="B84" s="75"/>
      <c r="C84" s="75"/>
      <c r="D84" s="75"/>
      <c r="E84" s="75"/>
      <c r="F84" s="75"/>
      <c r="G84" s="75"/>
      <c r="H84" s="75"/>
      <c r="I84" s="75"/>
      <c r="J84" s="75"/>
    </row>
    <row r="85" spans="1:10">
      <c r="A85" s="75"/>
      <c r="B85" s="75"/>
      <c r="C85" s="75"/>
      <c r="D85" s="75"/>
      <c r="E85" s="75"/>
      <c r="F85" s="75"/>
      <c r="G85" s="75"/>
      <c r="H85" s="75"/>
      <c r="I85" s="75"/>
      <c r="J85" s="75"/>
    </row>
    <row r="86" spans="1:10">
      <c r="A86" s="75"/>
      <c r="B86" s="75"/>
      <c r="C86" s="75"/>
      <c r="D86" s="75"/>
      <c r="E86" s="75"/>
      <c r="F86" s="75"/>
      <c r="G86" s="75"/>
      <c r="H86" s="75"/>
      <c r="I86" s="75"/>
      <c r="J86" s="75"/>
    </row>
    <row r="87" spans="1:10">
      <c r="A87" s="75"/>
      <c r="B87" s="75"/>
      <c r="C87" s="75"/>
      <c r="D87" s="75"/>
      <c r="E87" s="75"/>
      <c r="F87" s="75"/>
      <c r="G87" s="75"/>
      <c r="H87" s="75"/>
      <c r="I87" s="75"/>
      <c r="J87" s="75"/>
    </row>
    <row r="88" spans="1:10">
      <c r="A88" s="75"/>
      <c r="B88" s="75"/>
      <c r="C88" s="75"/>
      <c r="D88" s="75"/>
      <c r="E88" s="75"/>
      <c r="F88" s="75"/>
      <c r="G88" s="75"/>
      <c r="H88" s="75"/>
      <c r="I88" s="75"/>
      <c r="J88" s="75"/>
    </row>
    <row r="89" spans="1:10">
      <c r="A89" s="75"/>
      <c r="B89" s="75"/>
      <c r="C89" s="75"/>
      <c r="D89" s="75"/>
      <c r="E89" s="75"/>
      <c r="F89" s="75"/>
      <c r="G89" s="75"/>
      <c r="H89" s="75"/>
      <c r="I89" s="75"/>
      <c r="J89" s="75"/>
    </row>
    <row r="90" spans="1:10">
      <c r="A90" s="75"/>
      <c r="B90" s="75"/>
      <c r="C90" s="75"/>
      <c r="D90" s="75"/>
      <c r="E90" s="75"/>
      <c r="F90" s="75"/>
      <c r="G90" s="75"/>
      <c r="H90" s="75"/>
      <c r="I90" s="75"/>
      <c r="J90" s="75"/>
    </row>
    <row r="91" spans="1:10">
      <c r="A91" s="75"/>
      <c r="B91" s="75"/>
      <c r="C91" s="75"/>
      <c r="D91" s="75"/>
      <c r="E91" s="75"/>
      <c r="F91" s="75"/>
      <c r="G91" s="75"/>
      <c r="H91" s="75"/>
      <c r="I91" s="75"/>
      <c r="J91" s="75"/>
    </row>
    <row r="92" spans="1:10">
      <c r="A92" s="75"/>
      <c r="B92" s="75"/>
      <c r="C92" s="75"/>
      <c r="D92" s="75"/>
      <c r="E92" s="75"/>
      <c r="F92" s="75"/>
      <c r="G92" s="75"/>
      <c r="H92" s="75"/>
      <c r="I92" s="75"/>
      <c r="J92" s="75"/>
    </row>
    <row r="93" spans="1:10">
      <c r="A93" s="75"/>
      <c r="B93" s="75"/>
      <c r="C93" s="75"/>
      <c r="D93" s="75"/>
      <c r="E93" s="75"/>
      <c r="F93" s="75"/>
      <c r="G93" s="75"/>
      <c r="H93" s="75"/>
      <c r="I93" s="75"/>
      <c r="J93" s="75"/>
    </row>
    <row r="94" spans="1:10">
      <c r="A94" s="75"/>
      <c r="B94" s="75"/>
      <c r="C94" s="75"/>
      <c r="D94" s="75"/>
      <c r="E94" s="75"/>
      <c r="F94" s="75"/>
      <c r="G94" s="75"/>
      <c r="H94" s="75"/>
      <c r="I94" s="75"/>
      <c r="J94" s="75"/>
    </row>
    <row r="95" spans="1:10">
      <c r="A95" s="75"/>
      <c r="B95" s="75"/>
      <c r="C95" s="75"/>
      <c r="D95" s="75"/>
      <c r="E95" s="75"/>
      <c r="F95" s="75"/>
      <c r="G95" s="75"/>
      <c r="H95" s="75"/>
      <c r="I95" s="75"/>
      <c r="J95" s="75"/>
    </row>
    <row r="96" spans="1:10">
      <c r="A96" s="75"/>
      <c r="B96" s="75"/>
      <c r="C96" s="75"/>
      <c r="D96" s="75"/>
      <c r="E96" s="75"/>
      <c r="F96" s="75"/>
      <c r="G96" s="75"/>
      <c r="H96" s="75"/>
      <c r="I96" s="75"/>
      <c r="J96" s="75"/>
    </row>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row r="126" s="75" customFormat="1"/>
    <row r="127" s="75" customFormat="1"/>
    <row r="128" s="75" customFormat="1"/>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sheetData>
  <sheetProtection algorithmName="SHA-512" hashValue="zFOfUYPw/CMCujaoRmw371hZnbKwrPSDWpXT32eOMOXdDELW/EW/KOuD1XlInlgcTRU1Vlbuna6TbdwrXvXNDQ==" saltValue="GP+W2W1rieeBC/mVQiVHKg==" spinCount="100000" sheet="1" objects="1" scenarios="1"/>
  <mergeCells count="122">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H42:J42"/>
    <mergeCell ref="A46:J46"/>
    <mergeCell ref="A21:D21"/>
    <mergeCell ref="B23:D23"/>
    <mergeCell ref="F23:G23"/>
    <mergeCell ref="F24:G24"/>
    <mergeCell ref="F25:G25"/>
    <mergeCell ref="F29:G29"/>
    <mergeCell ref="B12:D12"/>
    <mergeCell ref="B16:D16"/>
    <mergeCell ref="A30:J30"/>
    <mergeCell ref="B31:E31"/>
    <mergeCell ref="B32:E32"/>
    <mergeCell ref="B33:E33"/>
    <mergeCell ref="F31:G31"/>
    <mergeCell ref="F32:G32"/>
    <mergeCell ref="F33:G33"/>
    <mergeCell ref="B37:E37"/>
    <mergeCell ref="H32:J32"/>
    <mergeCell ref="H33:J33"/>
    <mergeCell ref="B34:E34"/>
    <mergeCell ref="F34:G34"/>
    <mergeCell ref="B43:E43"/>
    <mergeCell ref="F43:G43"/>
    <mergeCell ref="H36:J36"/>
    <mergeCell ref="I22:J22"/>
    <mergeCell ref="H31:J31"/>
    <mergeCell ref="E19:G19"/>
    <mergeCell ref="E16:G16"/>
    <mergeCell ref="E11:G11"/>
    <mergeCell ref="I23:J23"/>
    <mergeCell ref="F22:G22"/>
    <mergeCell ref="B22:D22"/>
    <mergeCell ref="H17:J17"/>
    <mergeCell ref="E17:G17"/>
    <mergeCell ref="A20:J20"/>
    <mergeCell ref="E18:G18"/>
    <mergeCell ref="B29:D29"/>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A45:B45"/>
    <mergeCell ref="C45:E45"/>
    <mergeCell ref="F45:G4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s>
  <phoneticPr fontId="11" type="noConversion"/>
  <hyperlinks>
    <hyperlink ref="K20" r:id="rId1" display="http://business.center.cz/business/sablony/s3-priznani-k-dani-z-prijmu-fyzickych-osob.aspx" xr:uid="{99764F90-7246-4316-B51B-2361E383540A}"/>
  </hyperlinks>
  <printOptions horizontalCentered="1" verticalCentered="1"/>
  <pageMargins left="0.39370078740157483" right="0.39370078740157483" top="0.39370078740157483" bottom="0.39370078740157483" header="0.51181102362204722" footer="0.51181102362204722"/>
  <pageSetup paperSize="9" scale="97"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635"/>
  <sheetViews>
    <sheetView workbookViewId="0">
      <selection activeCell="E4" sqref="E4:G4"/>
    </sheetView>
  </sheetViews>
  <sheetFormatPr defaultRowHeight="12.75"/>
  <cols>
    <col min="1" max="1" width="4.42578125" bestFit="1" customWidth="1"/>
    <col min="2" max="2" width="10" customWidth="1"/>
    <col min="3" max="3" width="36.140625" customWidth="1"/>
    <col min="4" max="11" width="7.7109375" customWidth="1"/>
    <col min="12" max="73" width="9.140625" style="75"/>
  </cols>
  <sheetData>
    <row r="1" spans="1:73" ht="24" customHeight="1">
      <c r="A1" s="863" t="s">
        <v>33</v>
      </c>
      <c r="B1" s="864"/>
      <c r="C1" s="865"/>
      <c r="D1" s="117" t="s">
        <v>220</v>
      </c>
      <c r="E1" s="845"/>
      <c r="F1" s="908"/>
      <c r="G1" s="846"/>
      <c r="H1" s="117" t="s">
        <v>220</v>
      </c>
      <c r="I1" s="845"/>
      <c r="J1" s="955"/>
      <c r="K1" s="847"/>
      <c r="BO1"/>
      <c r="BP1"/>
      <c r="BQ1"/>
      <c r="BR1"/>
      <c r="BS1"/>
      <c r="BT1"/>
      <c r="BU1"/>
    </row>
    <row r="2" spans="1:73" ht="18" customHeight="1">
      <c r="A2" s="42">
        <v>64</v>
      </c>
      <c r="B2" s="808" t="s">
        <v>66</v>
      </c>
      <c r="C2" s="866"/>
      <c r="D2" s="126"/>
      <c r="E2" s="809">
        <v>30840</v>
      </c>
      <c r="F2" s="909"/>
      <c r="G2" s="876"/>
      <c r="H2" s="131"/>
      <c r="I2" s="804"/>
      <c r="J2" s="940"/>
      <c r="K2" s="941"/>
      <c r="BO2"/>
      <c r="BP2"/>
      <c r="BQ2"/>
      <c r="BR2"/>
      <c r="BS2"/>
      <c r="BT2"/>
      <c r="BU2"/>
    </row>
    <row r="3" spans="1:73" ht="18" customHeight="1">
      <c r="A3" s="42" t="s">
        <v>309</v>
      </c>
      <c r="B3" s="808" t="s">
        <v>67</v>
      </c>
      <c r="C3" s="866"/>
      <c r="D3" s="91">
        <v>0</v>
      </c>
      <c r="E3" s="809">
        <f>+D3*2070</f>
        <v>0</v>
      </c>
      <c r="F3" s="956"/>
      <c r="G3" s="957"/>
      <c r="H3" s="131"/>
      <c r="I3" s="804"/>
      <c r="J3" s="940"/>
      <c r="K3" s="941"/>
      <c r="L3" s="142"/>
      <c r="BO3"/>
      <c r="BP3"/>
      <c r="BQ3"/>
      <c r="BR3"/>
      <c r="BS3"/>
      <c r="BT3"/>
      <c r="BU3"/>
    </row>
    <row r="4" spans="1:73" ht="24" customHeight="1">
      <c r="A4" s="42" t="s">
        <v>310</v>
      </c>
      <c r="B4" s="806" t="s">
        <v>68</v>
      </c>
      <c r="C4" s="807"/>
      <c r="D4" s="91">
        <v>0</v>
      </c>
      <c r="E4" s="809">
        <f>+D4*4140</f>
        <v>0</v>
      </c>
      <c r="F4" s="958"/>
      <c r="G4" s="959"/>
      <c r="H4" s="131"/>
      <c r="I4" s="804"/>
      <c r="J4" s="940"/>
      <c r="K4" s="941"/>
      <c r="L4" s="142"/>
      <c r="BO4"/>
      <c r="BP4"/>
      <c r="BQ4"/>
      <c r="BR4"/>
      <c r="BS4"/>
      <c r="BT4"/>
      <c r="BU4"/>
    </row>
    <row r="5" spans="1:73" ht="24" customHeight="1">
      <c r="A5" s="42">
        <v>66</v>
      </c>
      <c r="B5" s="806" t="s">
        <v>3452</v>
      </c>
      <c r="C5" s="807"/>
      <c r="D5" s="91">
        <v>0</v>
      </c>
      <c r="E5" s="875">
        <f>+D5*210</f>
        <v>0</v>
      </c>
      <c r="F5" s="910"/>
      <c r="G5" s="911"/>
      <c r="H5" s="131"/>
      <c r="I5" s="804"/>
      <c r="J5" s="940"/>
      <c r="K5" s="941"/>
      <c r="BO5"/>
      <c r="BP5"/>
      <c r="BQ5"/>
      <c r="BR5"/>
      <c r="BS5"/>
      <c r="BT5"/>
      <c r="BU5"/>
    </row>
    <row r="6" spans="1:73" ht="24" customHeight="1">
      <c r="A6" s="42">
        <v>67</v>
      </c>
      <c r="B6" s="806" t="s">
        <v>3453</v>
      </c>
      <c r="C6" s="807"/>
      <c r="D6" s="91">
        <v>0</v>
      </c>
      <c r="E6" s="875">
        <f>+D6*420</f>
        <v>0</v>
      </c>
      <c r="F6" s="910"/>
      <c r="G6" s="911"/>
      <c r="H6" s="131"/>
      <c r="I6" s="804"/>
      <c r="J6" s="940"/>
      <c r="K6" s="941"/>
      <c r="BO6"/>
      <c r="BP6"/>
      <c r="BQ6"/>
      <c r="BR6"/>
      <c r="BS6"/>
      <c r="BT6"/>
      <c r="BU6"/>
    </row>
    <row r="7" spans="1:73" ht="18" customHeight="1">
      <c r="A7" s="42">
        <v>68</v>
      </c>
      <c r="B7" s="806" t="s">
        <v>3735</v>
      </c>
      <c r="C7" s="807"/>
      <c r="D7" s="91">
        <v>0</v>
      </c>
      <c r="E7" s="875">
        <f>+D7*1345</f>
        <v>0</v>
      </c>
      <c r="F7" s="910"/>
      <c r="G7" s="911"/>
      <c r="H7" s="131"/>
      <c r="I7" s="804"/>
      <c r="J7" s="940"/>
      <c r="K7" s="941"/>
      <c r="BO7"/>
      <c r="BP7"/>
      <c r="BQ7"/>
      <c r="BR7"/>
      <c r="BS7"/>
      <c r="BT7"/>
      <c r="BU7"/>
    </row>
    <row r="8" spans="1:73" ht="18" customHeight="1">
      <c r="A8" s="42">
        <v>69</v>
      </c>
      <c r="B8" s="806" t="s">
        <v>164</v>
      </c>
      <c r="C8" s="807"/>
      <c r="D8" s="635"/>
      <c r="E8" s="875"/>
      <c r="F8" s="910"/>
      <c r="G8" s="911"/>
      <c r="H8" s="131"/>
      <c r="I8" s="804"/>
      <c r="J8" s="940"/>
      <c r="K8" s="941"/>
      <c r="BO8"/>
      <c r="BP8"/>
      <c r="BQ8"/>
      <c r="BR8"/>
      <c r="BS8"/>
      <c r="BT8"/>
      <c r="BU8"/>
    </row>
    <row r="9" spans="1:73" ht="18" customHeight="1">
      <c r="A9" s="42" t="s">
        <v>65</v>
      </c>
      <c r="B9" s="806" t="s">
        <v>164</v>
      </c>
      <c r="C9" s="807"/>
      <c r="D9" s="126"/>
      <c r="E9" s="875"/>
      <c r="F9" s="910"/>
      <c r="G9" s="911"/>
      <c r="H9" s="131"/>
      <c r="I9" s="804"/>
      <c r="J9" s="940"/>
      <c r="K9" s="941"/>
      <c r="BO9"/>
      <c r="BP9"/>
      <c r="BQ9"/>
      <c r="BR9"/>
      <c r="BS9"/>
      <c r="BT9"/>
      <c r="BU9"/>
    </row>
    <row r="10" spans="1:73" ht="18" customHeight="1">
      <c r="A10" s="42" t="s">
        <v>3580</v>
      </c>
      <c r="B10" s="806" t="s">
        <v>164</v>
      </c>
      <c r="C10" s="807"/>
      <c r="D10" s="126"/>
      <c r="E10" s="875"/>
      <c r="F10" s="910"/>
      <c r="G10" s="911"/>
      <c r="H10" s="131"/>
      <c r="I10" s="804"/>
      <c r="J10" s="940"/>
      <c r="K10" s="941"/>
      <c r="BO10"/>
      <c r="BP10"/>
      <c r="BQ10"/>
      <c r="BR10"/>
      <c r="BS10"/>
      <c r="BT10"/>
      <c r="BU10"/>
    </row>
    <row r="11" spans="1:73" ht="30" customHeight="1">
      <c r="A11" s="42">
        <v>70</v>
      </c>
      <c r="B11" s="806" t="s">
        <v>3936</v>
      </c>
      <c r="C11" s="807"/>
      <c r="D11" s="126"/>
      <c r="E11" s="875">
        <f>+SUM(E2:F7)+'DAP2'!F41+'DAP2'!F42+'DAP2'!F43</f>
        <v>30840</v>
      </c>
      <c r="F11" s="910"/>
      <c r="G11" s="911"/>
      <c r="H11" s="131"/>
      <c r="I11" s="804"/>
      <c r="J11" s="940"/>
      <c r="K11" s="941"/>
      <c r="BR11"/>
      <c r="BS11"/>
      <c r="BT11"/>
      <c r="BU11"/>
    </row>
    <row r="12" spans="1:73" ht="24" customHeight="1" thickBot="1">
      <c r="A12" s="43">
        <v>71</v>
      </c>
      <c r="B12" s="884" t="s">
        <v>3454</v>
      </c>
      <c r="C12" s="885"/>
      <c r="D12" s="127"/>
      <c r="E12" s="882">
        <f>+MAX('DAP2'!F38-'DAP3'!E11,0)</f>
        <v>0</v>
      </c>
      <c r="F12" s="970"/>
      <c r="G12" s="971"/>
      <c r="H12" s="133"/>
      <c r="I12" s="887"/>
      <c r="J12" s="979"/>
      <c r="K12" s="980"/>
      <c r="BR12"/>
      <c r="BS12"/>
      <c r="BT12"/>
      <c r="BU12"/>
    </row>
    <row r="13" spans="1:73" ht="15.95" customHeight="1" thickBot="1">
      <c r="A13" s="933" t="s">
        <v>3455</v>
      </c>
      <c r="B13" s="933"/>
      <c r="C13" s="934"/>
      <c r="D13" s="934"/>
      <c r="E13" s="934"/>
      <c r="F13" s="934"/>
      <c r="G13" s="934"/>
      <c r="H13" s="934"/>
      <c r="I13" s="934"/>
      <c r="J13" s="934"/>
      <c r="K13" s="934"/>
    </row>
    <row r="14" spans="1:73" ht="22.5" customHeight="1">
      <c r="A14" s="937"/>
      <c r="B14" s="944" t="s">
        <v>3458</v>
      </c>
      <c r="C14" s="974"/>
      <c r="D14" s="944" t="s">
        <v>141</v>
      </c>
      <c r="E14" s="945"/>
      <c r="F14" s="948" t="s">
        <v>3456</v>
      </c>
      <c r="G14" s="949"/>
      <c r="H14" s="948" t="s">
        <v>3457</v>
      </c>
      <c r="I14" s="949"/>
      <c r="J14" s="948" t="s">
        <v>3541</v>
      </c>
      <c r="K14" s="969"/>
      <c r="BQ14"/>
      <c r="BR14"/>
      <c r="BS14"/>
      <c r="BT14"/>
      <c r="BU14"/>
    </row>
    <row r="15" spans="1:73" ht="21.95" customHeight="1">
      <c r="A15" s="938"/>
      <c r="B15" s="946"/>
      <c r="C15" s="947"/>
      <c r="D15" s="946"/>
      <c r="E15" s="947"/>
      <c r="F15" s="364" t="s">
        <v>3539</v>
      </c>
      <c r="G15" s="364" t="s">
        <v>3540</v>
      </c>
      <c r="H15" s="364" t="s">
        <v>3539</v>
      </c>
      <c r="I15" s="364" t="s">
        <v>3540</v>
      </c>
      <c r="J15" s="364" t="s">
        <v>3539</v>
      </c>
      <c r="K15" s="365" t="s">
        <v>3540</v>
      </c>
      <c r="BQ15"/>
      <c r="BR15"/>
      <c r="BS15"/>
      <c r="BT15"/>
      <c r="BU15"/>
    </row>
    <row r="16" spans="1:73" ht="12" customHeight="1">
      <c r="A16" s="939"/>
      <c r="B16" s="935">
        <v>1</v>
      </c>
      <c r="C16" s="936"/>
      <c r="D16" s="935">
        <v>2</v>
      </c>
      <c r="E16" s="935"/>
      <c r="F16" s="942">
        <v>3</v>
      </c>
      <c r="G16" s="950"/>
      <c r="H16" s="942">
        <v>4</v>
      </c>
      <c r="I16" s="950"/>
      <c r="J16" s="942">
        <v>5</v>
      </c>
      <c r="K16" s="943"/>
      <c r="BQ16"/>
      <c r="BR16"/>
      <c r="BS16"/>
      <c r="BT16"/>
      <c r="BU16"/>
    </row>
    <row r="17" spans="1:73" ht="18" customHeight="1">
      <c r="A17" s="137">
        <v>1</v>
      </c>
      <c r="B17" s="962" t="s">
        <v>135</v>
      </c>
      <c r="C17" s="963"/>
      <c r="D17" s="916"/>
      <c r="E17" s="917"/>
      <c r="F17" s="455"/>
      <c r="G17" s="455"/>
      <c r="H17" s="455"/>
      <c r="I17" s="455"/>
      <c r="J17" s="455"/>
      <c r="K17" s="456"/>
      <c r="BQ17"/>
      <c r="BR17"/>
      <c r="BS17"/>
      <c r="BT17"/>
      <c r="BU17"/>
    </row>
    <row r="18" spans="1:73" ht="18" customHeight="1">
      <c r="A18" s="137">
        <v>2</v>
      </c>
      <c r="B18" s="962" t="s">
        <v>135</v>
      </c>
      <c r="C18" s="963"/>
      <c r="D18" s="916"/>
      <c r="E18" s="916"/>
      <c r="F18" s="455"/>
      <c r="G18" s="455"/>
      <c r="H18" s="455"/>
      <c r="I18" s="455"/>
      <c r="J18" s="455"/>
      <c r="K18" s="456"/>
      <c r="BQ18"/>
      <c r="BR18"/>
      <c r="BS18"/>
      <c r="BT18"/>
      <c r="BU18"/>
    </row>
    <row r="19" spans="1:73" ht="18" customHeight="1">
      <c r="A19" s="137">
        <v>3</v>
      </c>
      <c r="B19" s="962" t="s">
        <v>135</v>
      </c>
      <c r="C19" s="963"/>
      <c r="D19" s="916"/>
      <c r="E19" s="916"/>
      <c r="F19" s="455"/>
      <c r="G19" s="455"/>
      <c r="H19" s="455"/>
      <c r="I19" s="455"/>
      <c r="J19" s="455"/>
      <c r="K19" s="456"/>
      <c r="BQ19"/>
      <c r="BR19"/>
      <c r="BS19"/>
      <c r="BT19"/>
      <c r="BU19"/>
    </row>
    <row r="20" spans="1:73" ht="18" customHeight="1">
      <c r="A20" s="137">
        <v>4</v>
      </c>
      <c r="B20" s="962" t="s">
        <v>135</v>
      </c>
      <c r="C20" s="963"/>
      <c r="D20" s="916"/>
      <c r="E20" s="916"/>
      <c r="F20" s="455"/>
      <c r="G20" s="455"/>
      <c r="H20" s="455"/>
      <c r="I20" s="455"/>
      <c r="J20" s="455"/>
      <c r="K20" s="456"/>
      <c r="BQ20"/>
      <c r="BR20"/>
      <c r="BS20"/>
      <c r="BT20"/>
      <c r="BU20"/>
    </row>
    <row r="21" spans="1:73" ht="15.95" customHeight="1" thickBot="1">
      <c r="A21" s="138"/>
      <c r="B21" s="972" t="s">
        <v>57</v>
      </c>
      <c r="C21" s="973"/>
      <c r="D21" s="968"/>
      <c r="E21" s="968"/>
      <c r="F21" s="363">
        <f t="shared" ref="F21:I21" si="0">+SUM(F17:F20)</f>
        <v>0</v>
      </c>
      <c r="G21" s="363">
        <f t="shared" si="0"/>
        <v>0</v>
      </c>
      <c r="H21" s="363">
        <f t="shared" si="0"/>
        <v>0</v>
      </c>
      <c r="I21" s="363">
        <f t="shared" si="0"/>
        <v>0</v>
      </c>
      <c r="J21" s="363">
        <f>+SUM(J17:J20)+Příl_děti!J13</f>
        <v>0</v>
      </c>
      <c r="K21" s="603">
        <f>+SUM(K17:K20)+Příl_děti!K13</f>
        <v>0</v>
      </c>
      <c r="BU21"/>
    </row>
    <row r="22" spans="1:73" ht="6" customHeight="1" thickBot="1">
      <c r="A22" s="912"/>
      <c r="B22" s="912"/>
      <c r="C22" s="800"/>
      <c r="D22" s="800"/>
      <c r="E22" s="800"/>
      <c r="F22" s="800"/>
      <c r="G22" s="800"/>
      <c r="H22" s="800"/>
      <c r="I22" s="800"/>
      <c r="J22" s="800"/>
      <c r="K22" s="800"/>
    </row>
    <row r="23" spans="1:73" ht="18" customHeight="1">
      <c r="A23" s="116">
        <v>72</v>
      </c>
      <c r="B23" s="828" t="s">
        <v>58</v>
      </c>
      <c r="C23" s="964"/>
      <c r="D23" s="913">
        <f>+F21*1267+G21*2534+H21*1860+I21*3720+J21*2320+K21*4640</f>
        <v>0</v>
      </c>
      <c r="E23" s="914"/>
      <c r="F23" s="914"/>
      <c r="G23" s="915"/>
      <c r="H23" s="834"/>
      <c r="I23" s="960"/>
      <c r="J23" s="960"/>
      <c r="K23" s="961"/>
      <c r="L23" s="142"/>
    </row>
    <row r="24" spans="1:73" ht="24" customHeight="1">
      <c r="A24" s="17">
        <v>73</v>
      </c>
      <c r="B24" s="929" t="s">
        <v>3459</v>
      </c>
      <c r="C24" s="930"/>
      <c r="D24" s="923">
        <f>+MIN(D23,E12)</f>
        <v>0</v>
      </c>
      <c r="E24" s="924"/>
      <c r="F24" s="924"/>
      <c r="G24" s="925"/>
      <c r="H24" s="931"/>
      <c r="I24" s="932"/>
      <c r="J24" s="932"/>
      <c r="K24" s="920"/>
    </row>
    <row r="25" spans="1:73" ht="18" customHeight="1">
      <c r="A25" s="532">
        <v>74</v>
      </c>
      <c r="B25" s="921" t="s">
        <v>3581</v>
      </c>
      <c r="C25" s="922"/>
      <c r="D25" s="923">
        <f>+E12-D24</f>
        <v>0</v>
      </c>
      <c r="E25" s="924"/>
      <c r="F25" s="924"/>
      <c r="G25" s="925"/>
      <c r="H25" s="926"/>
      <c r="I25" s="927"/>
      <c r="J25" s="927"/>
      <c r="K25" s="928"/>
    </row>
    <row r="26" spans="1:73" ht="24" customHeight="1" thickBot="1">
      <c r="A26" s="531" t="s">
        <v>3776</v>
      </c>
      <c r="B26" s="981" t="s">
        <v>3879</v>
      </c>
      <c r="C26" s="982"/>
      <c r="D26" s="855">
        <f>+'4Př'!F21</f>
        <v>0</v>
      </c>
      <c r="E26" s="856"/>
      <c r="F26" s="856"/>
      <c r="G26" s="907"/>
      <c r="H26" s="975"/>
      <c r="I26" s="976"/>
      <c r="J26" s="976"/>
      <c r="K26" s="977"/>
    </row>
    <row r="27" spans="1:73" ht="6" customHeight="1" thickBot="1">
      <c r="A27" s="912"/>
      <c r="B27" s="912"/>
      <c r="C27" s="800"/>
      <c r="D27" s="800"/>
      <c r="E27" s="800"/>
      <c r="F27" s="800"/>
      <c r="G27" s="800"/>
      <c r="H27" s="800"/>
      <c r="I27" s="800"/>
      <c r="J27" s="800"/>
      <c r="K27" s="800"/>
    </row>
    <row r="28" spans="1:73" ht="18" customHeight="1">
      <c r="A28" s="116">
        <v>75</v>
      </c>
      <c r="B28" s="828" t="s">
        <v>3777</v>
      </c>
      <c r="C28" s="964"/>
      <c r="D28" s="913">
        <f>+D25+D26</f>
        <v>0</v>
      </c>
      <c r="E28" s="914"/>
      <c r="F28" s="914"/>
      <c r="G28" s="915"/>
      <c r="H28" s="834"/>
      <c r="I28" s="960"/>
      <c r="J28" s="960"/>
      <c r="K28" s="961"/>
    </row>
    <row r="29" spans="1:73" ht="18" customHeight="1">
      <c r="A29" s="17">
        <v>76</v>
      </c>
      <c r="B29" s="929" t="s">
        <v>3460</v>
      </c>
      <c r="C29" s="930"/>
      <c r="D29" s="826">
        <f>IF(OR(+D23-D24&lt;99,+MAX('1Př1'!F11+'1Př1'!A27+'1Př1'!F19+'1Př1'!F22)+'DAP2'!E7&lt;6*18900),0,+D23-D24)</f>
        <v>0</v>
      </c>
      <c r="E29" s="827"/>
      <c r="F29" s="827"/>
      <c r="G29" s="905"/>
      <c r="H29" s="931"/>
      <c r="I29" s="932"/>
      <c r="J29" s="932"/>
      <c r="K29" s="920"/>
    </row>
    <row r="30" spans="1:73" ht="24" customHeight="1">
      <c r="A30" s="17">
        <v>77</v>
      </c>
      <c r="B30" s="929" t="s">
        <v>3778</v>
      </c>
      <c r="C30" s="930"/>
      <c r="D30" s="923">
        <f>+MAX(0,D28-D29)</f>
        <v>0</v>
      </c>
      <c r="E30" s="924"/>
      <c r="F30" s="924"/>
      <c r="G30" s="925"/>
      <c r="H30" s="931"/>
      <c r="I30" s="932"/>
      <c r="J30" s="932"/>
      <c r="K30" s="920"/>
    </row>
    <row r="31" spans="1:73" ht="24" customHeight="1" thickBot="1">
      <c r="A31" s="16" t="s">
        <v>3780</v>
      </c>
      <c r="B31" s="811" t="s">
        <v>3779</v>
      </c>
      <c r="C31" s="978"/>
      <c r="D31" s="836">
        <f>+MAX(0,-D28+D29)</f>
        <v>0</v>
      </c>
      <c r="E31" s="837"/>
      <c r="F31" s="837"/>
      <c r="G31" s="983"/>
      <c r="H31" s="965"/>
      <c r="I31" s="966"/>
      <c r="J31" s="966"/>
      <c r="K31" s="967"/>
    </row>
    <row r="32" spans="1:73" ht="15.95" customHeight="1" thickBot="1">
      <c r="A32" s="953" t="s">
        <v>311</v>
      </c>
      <c r="B32" s="953"/>
      <c r="C32" s="954"/>
      <c r="D32" s="954"/>
      <c r="E32" s="954"/>
      <c r="F32" s="954"/>
      <c r="G32" s="954"/>
      <c r="H32" s="954"/>
      <c r="I32" s="954"/>
      <c r="J32" s="954"/>
      <c r="K32" s="954"/>
    </row>
    <row r="33" spans="1:11" ht="18" customHeight="1">
      <c r="A33" s="17">
        <v>78</v>
      </c>
      <c r="B33" s="984" t="s">
        <v>201</v>
      </c>
      <c r="C33" s="985"/>
      <c r="D33" s="913">
        <v>0</v>
      </c>
      <c r="E33" s="914"/>
      <c r="F33" s="914"/>
      <c r="G33" s="915"/>
      <c r="H33" s="918"/>
      <c r="I33" s="919"/>
      <c r="J33" s="919"/>
      <c r="K33" s="920"/>
    </row>
    <row r="34" spans="1:11" ht="24" customHeight="1">
      <c r="A34" s="17">
        <v>79</v>
      </c>
      <c r="B34" s="901" t="s">
        <v>3781</v>
      </c>
      <c r="C34" s="902"/>
      <c r="D34" s="826">
        <f>+IF(OR(EXACT("X",'DAP1'!E13),EXACT("x",'DAP1'!E13)),'DAP3'!D26,0)</f>
        <v>0</v>
      </c>
      <c r="E34" s="827"/>
      <c r="F34" s="827"/>
      <c r="G34" s="905"/>
      <c r="H34" s="918"/>
      <c r="I34" s="919"/>
      <c r="J34" s="919"/>
      <c r="K34" s="920"/>
    </row>
    <row r="35" spans="1:11" ht="24" customHeight="1">
      <c r="A35" s="17">
        <v>80</v>
      </c>
      <c r="B35" s="901" t="s">
        <v>3461</v>
      </c>
      <c r="C35" s="902"/>
      <c r="D35" s="823">
        <f>+D34-D33</f>
        <v>0</v>
      </c>
      <c r="E35" s="824"/>
      <c r="F35" s="824"/>
      <c r="G35" s="906"/>
      <c r="H35" s="918"/>
      <c r="I35" s="919"/>
      <c r="J35" s="919"/>
      <c r="K35" s="920"/>
    </row>
    <row r="36" spans="1:11" ht="18" customHeight="1">
      <c r="A36" s="17">
        <v>81</v>
      </c>
      <c r="B36" s="901" t="s">
        <v>3462</v>
      </c>
      <c r="C36" s="902"/>
      <c r="D36" s="826">
        <v>0</v>
      </c>
      <c r="E36" s="827"/>
      <c r="F36" s="827"/>
      <c r="G36" s="905"/>
      <c r="H36" s="918"/>
      <c r="I36" s="919"/>
      <c r="J36" s="919"/>
      <c r="K36" s="920"/>
    </row>
    <row r="37" spans="1:11" ht="24" customHeight="1">
      <c r="A37" s="17">
        <v>82</v>
      </c>
      <c r="B37" s="901" t="s">
        <v>202</v>
      </c>
      <c r="C37" s="902"/>
      <c r="D37" s="826">
        <f>+IF(OR(EXACT("X",'DAP1'!E13),EXACT("x",'DAP1'!E13)),'DAP2'!F39,0)</f>
        <v>0</v>
      </c>
      <c r="E37" s="827"/>
      <c r="F37" s="827"/>
      <c r="G37" s="905"/>
      <c r="H37" s="918"/>
      <c r="I37" s="919"/>
      <c r="J37" s="919"/>
      <c r="K37" s="920"/>
    </row>
    <row r="38" spans="1:11" ht="24" customHeight="1" thickBot="1">
      <c r="A38" s="16">
        <v>83</v>
      </c>
      <c r="B38" s="903" t="s">
        <v>3463</v>
      </c>
      <c r="C38" s="904"/>
      <c r="D38" s="855">
        <f>+D37-D36</f>
        <v>0</v>
      </c>
      <c r="E38" s="856"/>
      <c r="F38" s="856"/>
      <c r="G38" s="907"/>
      <c r="H38" s="965"/>
      <c r="I38" s="966"/>
      <c r="J38" s="966"/>
      <c r="K38" s="967"/>
    </row>
    <row r="39" spans="1:11" ht="15.95" customHeight="1" thickBot="1">
      <c r="A39" s="953" t="s">
        <v>312</v>
      </c>
      <c r="B39" s="953"/>
      <c r="C39" s="954"/>
      <c r="D39" s="954"/>
      <c r="E39" s="954"/>
      <c r="F39" s="954"/>
      <c r="G39" s="954"/>
      <c r="H39" s="954"/>
      <c r="I39" s="954"/>
      <c r="J39" s="954"/>
      <c r="K39" s="954"/>
    </row>
    <row r="40" spans="1:11" ht="24" customHeight="1">
      <c r="A40" s="114">
        <v>84</v>
      </c>
      <c r="B40" s="814" t="s">
        <v>3464</v>
      </c>
      <c r="C40" s="952"/>
      <c r="D40" s="913">
        <f>+'DAP2'!M5</f>
        <v>0</v>
      </c>
      <c r="E40" s="914"/>
      <c r="F40" s="914"/>
      <c r="G40" s="915"/>
      <c r="H40" s="918"/>
      <c r="I40" s="919"/>
      <c r="J40" s="919"/>
      <c r="K40" s="920"/>
    </row>
    <row r="41" spans="1:11" ht="18" customHeight="1">
      <c r="A41" s="17">
        <v>85</v>
      </c>
      <c r="B41" s="868" t="s">
        <v>99</v>
      </c>
      <c r="C41" s="951"/>
      <c r="D41" s="826">
        <v>0</v>
      </c>
      <c r="E41" s="827"/>
      <c r="F41" s="827"/>
      <c r="G41" s="905"/>
      <c r="H41" s="918"/>
      <c r="I41" s="919"/>
      <c r="J41" s="919"/>
      <c r="K41" s="920"/>
    </row>
    <row r="42" spans="1:11" ht="24" customHeight="1">
      <c r="A42" s="17">
        <v>86</v>
      </c>
      <c r="B42" s="814" t="s">
        <v>3782</v>
      </c>
      <c r="C42" s="951"/>
      <c r="D42" s="826">
        <v>0</v>
      </c>
      <c r="E42" s="827"/>
      <c r="F42" s="827"/>
      <c r="G42" s="905"/>
      <c r="H42" s="918"/>
      <c r="I42" s="919"/>
      <c r="J42" s="919"/>
      <c r="K42" s="920"/>
    </row>
    <row r="43" spans="1:11" ht="18" customHeight="1">
      <c r="A43" s="17">
        <v>87</v>
      </c>
      <c r="B43" s="868" t="s">
        <v>3874</v>
      </c>
      <c r="C43" s="951"/>
      <c r="D43" s="826">
        <f>+'DAP2'!M6</f>
        <v>0</v>
      </c>
      <c r="E43" s="827"/>
      <c r="F43" s="827"/>
      <c r="G43" s="905"/>
      <c r="H43" s="918"/>
      <c r="I43" s="919"/>
      <c r="J43" s="919"/>
      <c r="K43" s="920"/>
    </row>
    <row r="44" spans="1:11" ht="18" customHeight="1">
      <c r="A44" s="17" t="s">
        <v>276</v>
      </c>
      <c r="B44" s="868" t="s">
        <v>277</v>
      </c>
      <c r="C44" s="951"/>
      <c r="D44" s="826">
        <v>0</v>
      </c>
      <c r="E44" s="827"/>
      <c r="F44" s="827"/>
      <c r="G44" s="905"/>
      <c r="H44" s="918"/>
      <c r="I44" s="919"/>
      <c r="J44" s="919"/>
      <c r="K44" s="920"/>
    </row>
    <row r="45" spans="1:11" ht="18" customHeight="1">
      <c r="A45" s="17">
        <v>88</v>
      </c>
      <c r="B45" s="868" t="s">
        <v>108</v>
      </c>
      <c r="C45" s="951"/>
      <c r="D45" s="826">
        <v>0</v>
      </c>
      <c r="E45" s="827"/>
      <c r="F45" s="827"/>
      <c r="G45" s="905"/>
      <c r="H45" s="918"/>
      <c r="I45" s="919"/>
      <c r="J45" s="919"/>
      <c r="K45" s="920"/>
    </row>
    <row r="46" spans="1:11" ht="24" customHeight="1">
      <c r="A46" s="17">
        <v>89</v>
      </c>
      <c r="B46" s="814" t="s">
        <v>3783</v>
      </c>
      <c r="C46" s="951"/>
      <c r="D46" s="826">
        <f>+'DAP2'!M7</f>
        <v>0</v>
      </c>
      <c r="E46" s="827"/>
      <c r="F46" s="827"/>
      <c r="G46" s="905"/>
      <c r="H46" s="918"/>
      <c r="I46" s="919"/>
      <c r="J46" s="919"/>
      <c r="K46" s="920"/>
    </row>
    <row r="47" spans="1:11" ht="18" customHeight="1">
      <c r="A47" s="17">
        <v>90</v>
      </c>
      <c r="B47" s="868" t="s">
        <v>84</v>
      </c>
      <c r="C47" s="951"/>
      <c r="D47" s="826">
        <v>0</v>
      </c>
      <c r="E47" s="827"/>
      <c r="F47" s="827"/>
      <c r="G47" s="905"/>
      <c r="H47" s="918"/>
      <c r="I47" s="919"/>
      <c r="J47" s="919"/>
      <c r="K47" s="920"/>
    </row>
    <row r="48" spans="1:11" ht="24" customHeight="1" thickBot="1">
      <c r="A48" s="17">
        <v>91</v>
      </c>
      <c r="B48" s="903" t="s">
        <v>3857</v>
      </c>
      <c r="C48" s="904"/>
      <c r="D48" s="855">
        <f>+IF(OR(EXACT("X",'DAP1'!E13),EXACT("x",'DAP1'!E13)),0,+D30-D31-SUM(D40:E45)+D46-D47)</f>
        <v>0</v>
      </c>
      <c r="E48" s="856"/>
      <c r="F48" s="856"/>
      <c r="G48" s="907"/>
      <c r="H48" s="918"/>
      <c r="I48" s="919"/>
      <c r="J48" s="919"/>
      <c r="K48" s="920"/>
    </row>
    <row r="49" spans="1:11">
      <c r="A49" s="892">
        <v>3</v>
      </c>
      <c r="B49" s="892"/>
      <c r="C49" s="892"/>
      <c r="D49" s="892"/>
      <c r="E49" s="892"/>
      <c r="F49" s="892"/>
      <c r="G49" s="892"/>
      <c r="H49" s="892"/>
      <c r="I49" s="892"/>
      <c r="J49" s="892"/>
      <c r="K49" s="892"/>
    </row>
    <row r="50" spans="1:11">
      <c r="A50" s="75"/>
      <c r="B50" s="75"/>
      <c r="C50" s="75"/>
      <c r="D50" s="75"/>
      <c r="E50" s="75"/>
      <c r="F50" s="75"/>
      <c r="G50" s="75"/>
      <c r="H50" s="75"/>
      <c r="I50" s="75"/>
      <c r="J50" s="75"/>
      <c r="K50" s="75"/>
    </row>
    <row r="51" spans="1:11">
      <c r="A51" s="75"/>
      <c r="B51" s="75"/>
      <c r="C51" s="75"/>
      <c r="D51" s="75"/>
      <c r="E51" s="75"/>
      <c r="F51" s="75"/>
      <c r="G51" s="75"/>
      <c r="H51" s="75"/>
      <c r="I51" s="75"/>
      <c r="J51" s="75"/>
      <c r="K51" s="75"/>
    </row>
    <row r="52" spans="1:11">
      <c r="A52" s="75"/>
      <c r="B52" s="75"/>
      <c r="C52" s="75"/>
      <c r="D52" s="75"/>
      <c r="E52" s="75"/>
      <c r="F52" s="75"/>
      <c r="G52" s="75"/>
      <c r="H52" s="75"/>
      <c r="I52" s="75"/>
      <c r="J52" s="75"/>
      <c r="K52" s="75"/>
    </row>
    <row r="53" spans="1:11">
      <c r="A53" s="75"/>
      <c r="B53" s="75"/>
      <c r="C53" s="75"/>
      <c r="D53" s="75"/>
      <c r="E53" s="75"/>
      <c r="F53" s="75"/>
      <c r="G53" s="75"/>
      <c r="H53" s="75"/>
      <c r="I53" s="75"/>
      <c r="J53" s="75"/>
      <c r="K53" s="75"/>
    </row>
    <row r="54" spans="1:11">
      <c r="A54" s="75"/>
      <c r="B54" s="75"/>
      <c r="C54" s="75"/>
      <c r="D54" s="75"/>
      <c r="E54" s="75"/>
      <c r="F54" s="75"/>
      <c r="G54" s="75"/>
      <c r="H54" s="75"/>
      <c r="I54" s="75"/>
      <c r="J54" s="75"/>
      <c r="K54" s="75"/>
    </row>
    <row r="55" spans="1:11">
      <c r="A55" s="75"/>
      <c r="B55" s="75"/>
      <c r="C55" s="75"/>
      <c r="D55" s="75"/>
      <c r="E55" s="75"/>
      <c r="F55" s="75"/>
      <c r="G55" s="75"/>
      <c r="H55" s="75"/>
      <c r="I55" s="75"/>
      <c r="J55" s="75"/>
      <c r="K55" s="75"/>
    </row>
    <row r="56" spans="1:11">
      <c r="A56" s="75"/>
      <c r="B56" s="75"/>
      <c r="C56" s="75"/>
      <c r="D56" s="75"/>
      <c r="E56" s="75"/>
      <c r="F56" s="75"/>
      <c r="G56" s="75"/>
      <c r="H56" s="75"/>
      <c r="I56" s="75"/>
      <c r="J56" s="75"/>
      <c r="K56" s="75"/>
    </row>
    <row r="57" spans="1:11">
      <c r="A57" s="75"/>
      <c r="B57" s="75"/>
      <c r="C57" s="75"/>
      <c r="D57" s="75"/>
      <c r="E57" s="75"/>
      <c r="F57" s="75"/>
      <c r="G57" s="75"/>
      <c r="H57" s="75"/>
      <c r="I57" s="75"/>
      <c r="J57" s="75"/>
      <c r="K57" s="75"/>
    </row>
    <row r="58" spans="1:11">
      <c r="A58" s="75"/>
      <c r="B58" s="75"/>
      <c r="C58" s="75"/>
      <c r="D58" s="75"/>
      <c r="E58" s="75"/>
      <c r="F58" s="75"/>
      <c r="G58" s="75"/>
      <c r="H58" s="75"/>
      <c r="I58" s="75"/>
      <c r="J58" s="75"/>
      <c r="K58" s="75"/>
    </row>
    <row r="59" spans="1:11">
      <c r="A59" s="75"/>
      <c r="B59" s="75"/>
      <c r="C59" s="75"/>
      <c r="D59" s="75"/>
      <c r="E59" s="75"/>
      <c r="F59" s="75"/>
      <c r="G59" s="75"/>
      <c r="H59" s="75"/>
      <c r="I59" s="75"/>
      <c r="J59" s="75"/>
      <c r="K59" s="75"/>
    </row>
    <row r="60" spans="1:11">
      <c r="A60" s="75"/>
      <c r="B60" s="75"/>
      <c r="C60" s="75"/>
      <c r="D60" s="75"/>
      <c r="E60" s="75"/>
      <c r="F60" s="75"/>
      <c r="G60" s="75"/>
      <c r="H60" s="75"/>
      <c r="I60" s="75"/>
      <c r="J60" s="75"/>
      <c r="K60" s="75"/>
    </row>
    <row r="61" spans="1:11">
      <c r="A61" s="75"/>
      <c r="B61" s="75"/>
      <c r="C61" s="75"/>
      <c r="D61" s="75"/>
      <c r="E61" s="75"/>
      <c r="F61" s="75"/>
      <c r="G61" s="75"/>
      <c r="H61" s="75"/>
      <c r="I61" s="75"/>
      <c r="J61" s="75"/>
      <c r="K61" s="75"/>
    </row>
    <row r="62" spans="1:11">
      <c r="A62" s="75"/>
      <c r="B62" s="75"/>
      <c r="C62" s="75"/>
      <c r="D62" s="75"/>
      <c r="E62" s="75"/>
      <c r="F62" s="75"/>
      <c r="G62" s="75"/>
      <c r="H62" s="75"/>
      <c r="I62" s="75"/>
      <c r="J62" s="75"/>
      <c r="K62" s="75"/>
    </row>
    <row r="63" spans="1:11">
      <c r="A63" s="75"/>
      <c r="B63" s="75"/>
      <c r="C63" s="75"/>
      <c r="D63" s="75"/>
      <c r="E63" s="75"/>
      <c r="F63" s="75"/>
      <c r="G63" s="75"/>
      <c r="H63" s="75"/>
      <c r="I63" s="75"/>
      <c r="J63" s="75"/>
      <c r="K63" s="75"/>
    </row>
    <row r="64" spans="1:11">
      <c r="A64" s="75"/>
      <c r="B64" s="75"/>
      <c r="C64" s="75"/>
      <c r="D64" s="75"/>
      <c r="E64" s="75"/>
      <c r="F64" s="75"/>
      <c r="G64" s="75"/>
      <c r="H64" s="75"/>
      <c r="I64" s="75"/>
      <c r="J64" s="75"/>
      <c r="K64" s="75"/>
    </row>
    <row r="65" spans="1:11">
      <c r="A65" s="75"/>
      <c r="B65" s="75"/>
      <c r="C65" s="75"/>
      <c r="D65" s="75"/>
      <c r="E65" s="75"/>
      <c r="F65" s="75"/>
      <c r="G65" s="75"/>
      <c r="H65" s="75"/>
      <c r="I65" s="75"/>
      <c r="J65" s="75"/>
      <c r="K65" s="75"/>
    </row>
    <row r="66" spans="1:11">
      <c r="A66" s="75"/>
      <c r="B66" s="75"/>
      <c r="C66" s="75"/>
      <c r="D66" s="75"/>
      <c r="E66" s="75"/>
      <c r="F66" s="75"/>
      <c r="G66" s="75"/>
      <c r="H66" s="75"/>
      <c r="I66" s="75"/>
      <c r="J66" s="75"/>
      <c r="K66" s="75"/>
    </row>
    <row r="67" spans="1:11">
      <c r="A67" s="75"/>
      <c r="B67" s="75"/>
      <c r="C67" s="75"/>
      <c r="D67" s="75"/>
      <c r="E67" s="75"/>
      <c r="F67" s="75"/>
      <c r="G67" s="75"/>
      <c r="H67" s="75"/>
      <c r="I67" s="75"/>
      <c r="J67" s="75"/>
      <c r="K67" s="75"/>
    </row>
    <row r="68" spans="1:11">
      <c r="A68" s="75"/>
      <c r="B68" s="75"/>
      <c r="C68" s="75"/>
      <c r="D68" s="75"/>
      <c r="E68" s="75"/>
      <c r="F68" s="75"/>
      <c r="G68" s="75"/>
      <c r="H68" s="75"/>
      <c r="I68" s="75"/>
      <c r="J68" s="75"/>
      <c r="K68" s="75"/>
    </row>
    <row r="69" spans="1:11">
      <c r="A69" s="75"/>
      <c r="B69" s="75"/>
      <c r="C69" s="75"/>
      <c r="D69" s="75"/>
      <c r="E69" s="75"/>
      <c r="F69" s="75"/>
      <c r="G69" s="75"/>
      <c r="H69" s="75"/>
      <c r="I69" s="75"/>
      <c r="J69" s="75"/>
      <c r="K69" s="75"/>
    </row>
    <row r="70" spans="1:11">
      <c r="A70" s="75"/>
      <c r="B70" s="75"/>
      <c r="C70" s="75"/>
      <c r="D70" s="75"/>
      <c r="E70" s="75"/>
      <c r="F70" s="75"/>
      <c r="G70" s="75"/>
      <c r="H70" s="75"/>
      <c r="I70" s="75"/>
      <c r="J70" s="75"/>
      <c r="K70" s="75"/>
    </row>
    <row r="71" spans="1:11">
      <c r="A71" s="75"/>
      <c r="B71" s="75"/>
      <c r="C71" s="75"/>
      <c r="D71" s="75"/>
      <c r="E71" s="75"/>
      <c r="F71" s="75"/>
      <c r="G71" s="75"/>
      <c r="H71" s="75"/>
      <c r="I71" s="75"/>
      <c r="J71" s="75"/>
      <c r="K71" s="75"/>
    </row>
    <row r="72" spans="1:11">
      <c r="A72" s="75"/>
      <c r="B72" s="75"/>
      <c r="C72" s="75"/>
      <c r="D72" s="75"/>
      <c r="E72" s="75"/>
      <c r="F72" s="75"/>
      <c r="G72" s="75"/>
      <c r="H72" s="75"/>
      <c r="I72" s="75"/>
      <c r="J72" s="75"/>
      <c r="K72" s="75"/>
    </row>
    <row r="73" spans="1:11">
      <c r="A73" s="75"/>
      <c r="B73" s="75"/>
      <c r="C73" s="75"/>
      <c r="D73" s="75"/>
      <c r="E73" s="75"/>
      <c r="F73" s="75"/>
      <c r="G73" s="75"/>
      <c r="H73" s="75"/>
      <c r="I73" s="75"/>
      <c r="J73" s="75"/>
      <c r="K73" s="75"/>
    </row>
    <row r="74" spans="1:11">
      <c r="A74" s="75"/>
      <c r="B74" s="75"/>
      <c r="C74" s="75"/>
      <c r="D74" s="75"/>
      <c r="E74" s="75"/>
      <c r="F74" s="75"/>
      <c r="G74" s="75"/>
      <c r="H74" s="75"/>
      <c r="I74" s="75"/>
      <c r="J74" s="75"/>
      <c r="K74" s="75"/>
    </row>
    <row r="75" spans="1:11">
      <c r="A75" s="75"/>
      <c r="B75" s="75"/>
      <c r="C75" s="75"/>
      <c r="D75" s="75"/>
      <c r="E75" s="75"/>
      <c r="F75" s="75"/>
      <c r="G75" s="75"/>
      <c r="H75" s="75"/>
      <c r="I75" s="75"/>
      <c r="J75" s="75"/>
      <c r="K75" s="75"/>
    </row>
    <row r="76" spans="1:11">
      <c r="A76" s="75"/>
      <c r="B76" s="75"/>
      <c r="C76" s="75"/>
      <c r="D76" s="75"/>
      <c r="E76" s="75"/>
      <c r="F76" s="75"/>
      <c r="G76" s="75"/>
      <c r="H76" s="75"/>
      <c r="I76" s="75"/>
      <c r="J76" s="75"/>
      <c r="K76" s="75"/>
    </row>
    <row r="77" spans="1:11">
      <c r="A77" s="75"/>
      <c r="B77" s="75"/>
      <c r="C77" s="75"/>
      <c r="D77" s="75"/>
      <c r="E77" s="75"/>
      <c r="F77" s="75"/>
      <c r="G77" s="75"/>
      <c r="H77" s="75"/>
      <c r="I77" s="75"/>
      <c r="J77" s="75"/>
      <c r="K77" s="75"/>
    </row>
    <row r="78" spans="1:11">
      <c r="A78" s="75"/>
      <c r="B78" s="75"/>
      <c r="C78" s="75"/>
      <c r="D78" s="75"/>
      <c r="E78" s="75"/>
      <c r="F78" s="75"/>
      <c r="G78" s="75"/>
      <c r="H78" s="75"/>
      <c r="I78" s="75"/>
      <c r="J78" s="75"/>
      <c r="K78" s="75"/>
    </row>
    <row r="79" spans="1:11">
      <c r="A79" s="75"/>
      <c r="B79" s="75"/>
      <c r="C79" s="75"/>
      <c r="D79" s="75"/>
      <c r="E79" s="75"/>
      <c r="F79" s="75"/>
      <c r="G79" s="75"/>
      <c r="H79" s="75"/>
      <c r="I79" s="75"/>
      <c r="J79" s="75"/>
      <c r="K79" s="75"/>
    </row>
    <row r="80" spans="1:11">
      <c r="A80" s="75"/>
      <c r="B80" s="75"/>
      <c r="C80" s="75"/>
      <c r="D80" s="75"/>
      <c r="E80" s="75"/>
      <c r="F80" s="75"/>
      <c r="G80" s="75"/>
      <c r="H80" s="75"/>
      <c r="I80" s="75"/>
      <c r="J80" s="75"/>
      <c r="K80" s="75"/>
    </row>
    <row r="81" spans="1:11">
      <c r="A81" s="75"/>
      <c r="B81" s="75"/>
      <c r="C81" s="75"/>
      <c r="D81" s="75"/>
      <c r="E81" s="75"/>
      <c r="F81" s="75"/>
      <c r="G81" s="75"/>
      <c r="H81" s="75"/>
      <c r="I81" s="75"/>
      <c r="J81" s="75"/>
      <c r="K81" s="75"/>
    </row>
    <row r="82" spans="1:11">
      <c r="A82" s="75"/>
      <c r="B82" s="75"/>
      <c r="C82" s="75"/>
      <c r="D82" s="75"/>
      <c r="E82" s="75"/>
      <c r="F82" s="75"/>
      <c r="G82" s="75"/>
      <c r="H82" s="75"/>
      <c r="I82" s="75"/>
      <c r="J82" s="75"/>
      <c r="K82" s="75"/>
    </row>
    <row r="83" spans="1:11">
      <c r="A83" s="75"/>
      <c r="B83" s="75"/>
      <c r="C83" s="75"/>
      <c r="D83" s="75"/>
      <c r="E83" s="75"/>
      <c r="F83" s="75"/>
      <c r="G83" s="75"/>
      <c r="H83" s="75"/>
      <c r="I83" s="75"/>
      <c r="J83" s="75"/>
      <c r="K83" s="75"/>
    </row>
    <row r="84" spans="1:11">
      <c r="A84" s="75"/>
      <c r="B84" s="75"/>
      <c r="C84" s="75"/>
      <c r="D84" s="75"/>
      <c r="E84" s="75"/>
      <c r="F84" s="75"/>
      <c r="G84" s="75"/>
      <c r="H84" s="75"/>
      <c r="I84" s="75"/>
      <c r="J84" s="75"/>
      <c r="K84" s="75"/>
    </row>
    <row r="85" spans="1:11">
      <c r="A85" s="75"/>
      <c r="B85" s="75"/>
      <c r="C85" s="75"/>
      <c r="D85" s="75"/>
      <c r="E85" s="75"/>
      <c r="F85" s="75"/>
      <c r="G85" s="75"/>
      <c r="H85" s="75"/>
      <c r="I85" s="75"/>
      <c r="J85" s="75"/>
      <c r="K85" s="75"/>
    </row>
    <row r="86" spans="1:11">
      <c r="A86" s="75"/>
      <c r="B86" s="75"/>
      <c r="C86" s="75"/>
      <c r="D86" s="75"/>
      <c r="E86" s="75"/>
      <c r="F86" s="75"/>
      <c r="G86" s="75"/>
      <c r="H86" s="75"/>
      <c r="I86" s="75"/>
      <c r="J86" s="75"/>
      <c r="K86" s="75"/>
    </row>
    <row r="87" spans="1:11">
      <c r="A87" s="75"/>
      <c r="B87" s="75"/>
      <c r="C87" s="75"/>
      <c r="D87" s="75"/>
      <c r="E87" s="75"/>
      <c r="F87" s="75"/>
      <c r="G87" s="75"/>
      <c r="H87" s="75"/>
      <c r="I87" s="75"/>
      <c r="J87" s="75"/>
      <c r="K87" s="75"/>
    </row>
    <row r="88" spans="1:11">
      <c r="A88" s="75"/>
      <c r="B88" s="75"/>
      <c r="C88" s="75"/>
      <c r="D88" s="75"/>
      <c r="E88" s="75"/>
      <c r="F88" s="75"/>
      <c r="G88" s="75"/>
      <c r="H88" s="75"/>
      <c r="I88" s="75"/>
      <c r="J88" s="75"/>
      <c r="K88" s="75"/>
    </row>
    <row r="89" spans="1:11">
      <c r="A89" s="75"/>
      <c r="B89" s="75"/>
      <c r="C89" s="75"/>
      <c r="D89" s="75"/>
      <c r="E89" s="75"/>
      <c r="F89" s="75"/>
      <c r="G89" s="75"/>
      <c r="H89" s="75"/>
      <c r="I89" s="75"/>
      <c r="J89" s="75"/>
      <c r="K89" s="75"/>
    </row>
    <row r="90" spans="1:11">
      <c r="A90" s="75"/>
      <c r="B90" s="75"/>
      <c r="C90" s="75"/>
      <c r="D90" s="75"/>
      <c r="E90" s="75"/>
      <c r="F90" s="75"/>
      <c r="G90" s="75"/>
      <c r="H90" s="75"/>
      <c r="I90" s="75"/>
      <c r="J90" s="75"/>
      <c r="K90" s="75"/>
    </row>
    <row r="91" spans="1:11">
      <c r="A91" s="75"/>
      <c r="B91" s="75"/>
      <c r="C91" s="75"/>
      <c r="D91" s="75"/>
      <c r="E91" s="75"/>
      <c r="F91" s="75"/>
      <c r="G91" s="75"/>
      <c r="H91" s="75"/>
      <c r="I91" s="75"/>
      <c r="J91" s="75"/>
      <c r="K91" s="75"/>
    </row>
    <row r="92" spans="1:11">
      <c r="A92" s="75"/>
      <c r="B92" s="75"/>
      <c r="C92" s="75"/>
      <c r="D92" s="75"/>
      <c r="E92" s="75"/>
      <c r="F92" s="75"/>
      <c r="G92" s="75"/>
      <c r="H92" s="75"/>
      <c r="I92" s="75"/>
      <c r="J92" s="75"/>
      <c r="K92" s="75"/>
    </row>
    <row r="93" spans="1:11">
      <c r="A93" s="75"/>
      <c r="B93" s="75"/>
      <c r="C93" s="75"/>
      <c r="D93" s="75"/>
      <c r="E93" s="75"/>
      <c r="F93" s="75"/>
      <c r="G93" s="75"/>
      <c r="H93" s="75"/>
      <c r="I93" s="75"/>
      <c r="J93" s="75"/>
      <c r="K93" s="75"/>
    </row>
    <row r="94" spans="1:11">
      <c r="A94" s="75"/>
      <c r="B94" s="75"/>
      <c r="C94" s="75"/>
      <c r="D94" s="75"/>
      <c r="E94" s="75"/>
      <c r="F94" s="75"/>
      <c r="G94" s="75"/>
      <c r="H94" s="75"/>
      <c r="I94" s="75"/>
      <c r="J94" s="75"/>
      <c r="K94" s="75"/>
    </row>
    <row r="95" spans="1:11">
      <c r="A95" s="75"/>
      <c r="B95" s="75"/>
      <c r="C95" s="75"/>
      <c r="D95" s="75"/>
      <c r="E95" s="75"/>
      <c r="F95" s="75"/>
      <c r="G95" s="75"/>
      <c r="H95" s="75"/>
      <c r="I95" s="75"/>
      <c r="J95" s="75"/>
      <c r="K95" s="75"/>
    </row>
    <row r="96" spans="1:11">
      <c r="A96" s="75"/>
      <c r="B96" s="75"/>
      <c r="C96" s="75"/>
      <c r="D96" s="75"/>
      <c r="E96" s="75"/>
      <c r="F96" s="75"/>
      <c r="G96" s="75"/>
      <c r="H96" s="75"/>
      <c r="I96" s="75"/>
      <c r="J96" s="75"/>
      <c r="K96" s="75"/>
    </row>
    <row r="97" s="75" customFormat="1"/>
    <row r="98" s="75" customFormat="1"/>
    <row r="99" s="75" customFormat="1"/>
    <row r="100" s="75" customFormat="1"/>
    <row r="101" s="75" customFormat="1"/>
    <row r="102" s="75" customFormat="1"/>
    <row r="103" s="75" customFormat="1"/>
    <row r="104" s="75" customFormat="1"/>
    <row r="105" s="75" customFormat="1"/>
    <row r="106" s="75" customFormat="1"/>
    <row r="107" s="75" customFormat="1"/>
    <row r="108" s="75" customFormat="1"/>
    <row r="109" s="75" customFormat="1"/>
    <row r="110" s="75" customFormat="1"/>
    <row r="111" s="75" customFormat="1"/>
    <row r="112" s="75" customFormat="1"/>
    <row r="113" s="75" customFormat="1"/>
    <row r="114" s="75" customFormat="1"/>
    <row r="115" s="75" customFormat="1"/>
    <row r="116" s="75" customFormat="1"/>
    <row r="117" s="75" customFormat="1"/>
    <row r="118" s="75" customFormat="1"/>
    <row r="119" s="75" customFormat="1"/>
    <row r="120" s="75" customFormat="1"/>
    <row r="121" s="75" customFormat="1"/>
    <row r="122" s="75" customFormat="1"/>
    <row r="123" s="75" customFormat="1"/>
    <row r="124" s="75" customFormat="1"/>
    <row r="125" s="75" customFormat="1"/>
    <row r="126" s="75" customFormat="1"/>
    <row r="127" s="75" customFormat="1"/>
    <row r="128" s="75" customFormat="1"/>
    <row r="129" s="75" customFormat="1"/>
    <row r="130" s="75" customFormat="1"/>
    <row r="131" s="75" customFormat="1"/>
    <row r="132" s="75" customFormat="1"/>
    <row r="133" s="75" customFormat="1"/>
    <row r="134" s="75" customFormat="1"/>
    <row r="135" s="75" customFormat="1"/>
    <row r="136" s="75" customFormat="1"/>
    <row r="137" s="75" customFormat="1"/>
    <row r="138" s="75" customFormat="1"/>
    <row r="139" s="75" customFormat="1"/>
    <row r="140" s="75" customFormat="1"/>
    <row r="141" s="75" customFormat="1"/>
    <row r="142" s="75" customFormat="1"/>
    <row r="143" s="75" customFormat="1"/>
    <row r="144" s="75" customFormat="1"/>
    <row r="145" s="75" customFormat="1"/>
    <row r="146" s="75" customFormat="1"/>
    <row r="147" s="75" customFormat="1"/>
    <row r="148" s="75" customFormat="1"/>
    <row r="149" s="75" customFormat="1"/>
    <row r="150" s="75" customFormat="1"/>
    <row r="151" s="75" customFormat="1"/>
    <row r="152" s="75" customFormat="1"/>
    <row r="153" s="75" customFormat="1"/>
    <row r="154" s="75" customFormat="1"/>
    <row r="155" s="75" customFormat="1"/>
    <row r="156" s="75" customFormat="1"/>
    <row r="157" s="75" customFormat="1"/>
    <row r="158" s="75" customFormat="1"/>
    <row r="159" s="75" customFormat="1"/>
    <row r="160" s="75" customFormat="1"/>
    <row r="161" s="75" customFormat="1"/>
    <row r="162" s="75" customFormat="1"/>
    <row r="163" s="75" customFormat="1"/>
    <row r="164" s="75" customFormat="1"/>
    <row r="165" s="75" customFormat="1"/>
    <row r="166" s="75" customFormat="1"/>
    <row r="167" s="75" customFormat="1"/>
    <row r="168" s="75" customFormat="1"/>
    <row r="169" s="75" customFormat="1"/>
    <row r="170" s="75" customFormat="1"/>
    <row r="171" s="75" customFormat="1"/>
    <row r="172" s="75" customFormat="1"/>
    <row r="173" s="75" customFormat="1"/>
    <row r="174" s="75" customFormat="1"/>
    <row r="175" s="75" customFormat="1"/>
    <row r="176" s="75" customFormat="1"/>
    <row r="177" s="75" customFormat="1"/>
    <row r="178" s="75" customFormat="1"/>
    <row r="179" s="75" customFormat="1"/>
    <row r="180" s="75" customFormat="1"/>
    <row r="181" s="75" customFormat="1"/>
    <row r="182" s="75" customFormat="1"/>
    <row r="183" s="75" customFormat="1"/>
    <row r="184" s="75" customFormat="1"/>
    <row r="185" s="75" customFormat="1"/>
    <row r="186" s="75" customFormat="1"/>
    <row r="187" s="75" customFormat="1"/>
    <row r="188" s="75" customFormat="1"/>
    <row r="189" s="75" customFormat="1"/>
    <row r="190" s="75" customFormat="1"/>
    <row r="191" s="75" customFormat="1"/>
    <row r="192" s="75" customFormat="1"/>
    <row r="193" s="75" customFormat="1"/>
    <row r="194" s="75" customFormat="1"/>
    <row r="195" s="75" customFormat="1"/>
    <row r="196" s="75" customFormat="1"/>
    <row r="197" s="75" customFormat="1"/>
    <row r="198" s="75" customFormat="1"/>
    <row r="199" s="75" customFormat="1"/>
    <row r="200" s="75" customFormat="1"/>
    <row r="201" s="75" customFormat="1"/>
    <row r="202" s="75" customFormat="1"/>
    <row r="203" s="75" customFormat="1"/>
    <row r="204" s="75" customFormat="1"/>
    <row r="205" s="75" customFormat="1"/>
    <row r="206" s="75" customFormat="1"/>
    <row r="207" s="75" customFormat="1"/>
    <row r="208" s="75" customFormat="1"/>
    <row r="209" s="75" customFormat="1"/>
    <row r="210" s="75" customFormat="1"/>
    <row r="211" s="75" customFormat="1"/>
    <row r="212" s="75" customFormat="1"/>
    <row r="213" s="75" customFormat="1"/>
    <row r="214" s="75" customFormat="1"/>
    <row r="215" s="75" customFormat="1"/>
    <row r="216" s="75" customFormat="1"/>
    <row r="217" s="75" customFormat="1"/>
    <row r="218" s="75" customFormat="1"/>
    <row r="219" s="75" customFormat="1"/>
    <row r="220" s="75" customFormat="1"/>
    <row r="221" s="75" customFormat="1"/>
    <row r="222" s="75" customFormat="1"/>
    <row r="223" s="75" customFormat="1"/>
    <row r="224" s="75" customFormat="1"/>
    <row r="225" s="75" customFormat="1"/>
    <row r="226" s="75" customFormat="1"/>
    <row r="227" s="75" customFormat="1"/>
    <row r="228" s="75" customFormat="1"/>
    <row r="229" s="75" customFormat="1"/>
    <row r="230" s="75" customFormat="1"/>
    <row r="231" s="75" customFormat="1"/>
    <row r="232" s="75" customFormat="1"/>
    <row r="233" s="75" customFormat="1"/>
    <row r="234" s="75" customFormat="1"/>
    <row r="235" s="75" customFormat="1"/>
    <row r="236" s="75" customFormat="1"/>
    <row r="237" s="75" customFormat="1"/>
    <row r="238" s="75" customFormat="1"/>
    <row r="239" s="75" customFormat="1"/>
    <row r="240" s="75" customFormat="1"/>
    <row r="241" s="75" customFormat="1"/>
    <row r="242" s="75" customFormat="1"/>
    <row r="243" s="75" customFormat="1"/>
    <row r="244" s="75" customFormat="1"/>
    <row r="245" s="75" customFormat="1"/>
    <row r="246" s="75" customFormat="1"/>
    <row r="247" s="75" customFormat="1"/>
    <row r="248" s="75" customFormat="1"/>
    <row r="249" s="75" customFormat="1"/>
    <row r="250" s="75" customFormat="1"/>
    <row r="251" s="75" customFormat="1"/>
    <row r="252" s="75" customFormat="1"/>
    <row r="253" s="75" customFormat="1"/>
    <row r="254" s="75" customFormat="1"/>
    <row r="255" s="75" customFormat="1"/>
    <row r="256" s="75" customFormat="1"/>
    <row r="257" s="75" customFormat="1"/>
    <row r="258" s="75" customFormat="1"/>
    <row r="259" s="75" customFormat="1"/>
    <row r="260" s="75" customFormat="1"/>
    <row r="261" s="75" customFormat="1"/>
    <row r="262" s="75" customFormat="1"/>
    <row r="263" s="75" customFormat="1"/>
    <row r="264" s="75" customFormat="1"/>
    <row r="265" s="75" customFormat="1"/>
    <row r="266" s="75" customFormat="1"/>
    <row r="267" s="75" customFormat="1"/>
    <row r="268" s="75" customFormat="1"/>
    <row r="269" s="75" customFormat="1"/>
    <row r="270" s="75" customFormat="1"/>
    <row r="271" s="75" customFormat="1"/>
    <row r="272" s="75" customFormat="1"/>
    <row r="273" s="75" customFormat="1"/>
    <row r="274" s="75" customFormat="1"/>
    <row r="275" s="75" customFormat="1"/>
    <row r="276" s="75" customFormat="1"/>
    <row r="277" s="75" customFormat="1"/>
    <row r="278" s="75" customFormat="1"/>
    <row r="279" s="75" customFormat="1"/>
    <row r="280" s="75" customFormat="1"/>
    <row r="281" s="75" customFormat="1"/>
    <row r="282" s="75" customFormat="1"/>
    <row r="283" s="75" customFormat="1"/>
    <row r="284" s="75" customFormat="1"/>
    <row r="285" s="75" customFormat="1"/>
    <row r="286" s="75" customFormat="1"/>
    <row r="287" s="75" customFormat="1"/>
    <row r="288" s="75" customFormat="1"/>
    <row r="289" s="75" customFormat="1"/>
    <row r="290" s="75" customFormat="1"/>
    <row r="291" s="75" customFormat="1"/>
    <row r="292" s="75" customFormat="1"/>
    <row r="293" s="75" customFormat="1"/>
    <row r="294" s="75" customFormat="1"/>
    <row r="295" s="75" customFormat="1"/>
    <row r="296" s="75" customFormat="1"/>
    <row r="297" s="75" customFormat="1"/>
    <row r="298" s="75" customFormat="1"/>
    <row r="299" s="75" customFormat="1"/>
    <row r="300" s="75" customFormat="1"/>
    <row r="301" s="75" customFormat="1"/>
    <row r="302" s="75" customFormat="1"/>
    <row r="303" s="75" customFormat="1"/>
    <row r="304" s="75" customFormat="1"/>
    <row r="305" s="75" customFormat="1"/>
    <row r="306" s="75" customFormat="1"/>
    <row r="307" s="75" customFormat="1"/>
    <row r="308" s="75" customFormat="1"/>
    <row r="309" s="75" customFormat="1"/>
    <row r="310" s="75" customFormat="1"/>
    <row r="311" s="75" customFormat="1"/>
    <row r="312" s="75" customFormat="1"/>
    <row r="313" s="75" customFormat="1"/>
    <row r="314" s="75" customFormat="1"/>
    <row r="315" s="75" customFormat="1"/>
    <row r="316" s="75" customFormat="1"/>
    <row r="317" s="75" customFormat="1"/>
    <row r="318" s="75" customFormat="1"/>
    <row r="319" s="75" customFormat="1"/>
    <row r="320" s="75" customFormat="1"/>
    <row r="321" s="75" customFormat="1"/>
    <row r="322" s="75" customFormat="1"/>
    <row r="323" s="75" customFormat="1"/>
    <row r="324" s="75" customFormat="1"/>
    <row r="325" s="75" customFormat="1"/>
    <row r="326" s="75" customFormat="1"/>
    <row r="327" s="75" customFormat="1"/>
    <row r="328" s="75" customFormat="1"/>
    <row r="329" s="75" customFormat="1"/>
    <row r="330" s="75" customFormat="1"/>
    <row r="331" s="75" customFormat="1"/>
    <row r="332" s="75" customFormat="1"/>
    <row r="333" s="75" customFormat="1"/>
    <row r="334" s="75" customFormat="1"/>
    <row r="335" s="75" customFormat="1"/>
    <row r="336" s="75" customFormat="1"/>
    <row r="337" s="75" customFormat="1"/>
    <row r="338" s="75" customFormat="1"/>
    <row r="339" s="75" customFormat="1"/>
    <row r="340" s="75" customFormat="1"/>
    <row r="341" s="75" customFormat="1"/>
    <row r="342" s="75" customFormat="1"/>
    <row r="343" s="75" customFormat="1"/>
    <row r="344" s="75" customFormat="1"/>
    <row r="345" s="75" customFormat="1"/>
    <row r="346" s="75" customFormat="1"/>
    <row r="347" s="75" customFormat="1"/>
    <row r="348" s="75" customFormat="1"/>
    <row r="349" s="75" customFormat="1"/>
    <row r="350" s="75" customFormat="1"/>
    <row r="351" s="75" customFormat="1"/>
    <row r="352" s="75" customFormat="1"/>
    <row r="353" s="75" customFormat="1"/>
    <row r="354" s="75" customFormat="1"/>
    <row r="355" s="75" customFormat="1"/>
    <row r="356" s="75" customFormat="1"/>
    <row r="357" s="75" customFormat="1"/>
    <row r="358" s="75" customFormat="1"/>
    <row r="359" s="75" customFormat="1"/>
    <row r="360" s="75" customFormat="1"/>
    <row r="361" s="75" customFormat="1"/>
    <row r="362" s="75" customFormat="1"/>
    <row r="363" s="75" customFormat="1"/>
    <row r="364" s="75" customFormat="1"/>
    <row r="365" s="75" customFormat="1"/>
    <row r="366" s="75" customFormat="1"/>
    <row r="367" s="75" customFormat="1"/>
    <row r="368" s="75" customFormat="1"/>
    <row r="369" s="75" customFormat="1"/>
    <row r="370" s="75" customFormat="1"/>
    <row r="371" s="75" customFormat="1"/>
    <row r="372" s="75" customFormat="1"/>
    <row r="373" s="75" customFormat="1"/>
    <row r="374" s="75" customFormat="1"/>
    <row r="375" s="75" customFormat="1"/>
    <row r="376" s="75" customFormat="1"/>
    <row r="377" s="75" customFormat="1"/>
    <row r="378" s="75" customFormat="1"/>
    <row r="379" s="75" customFormat="1"/>
    <row r="380" s="75" customFormat="1"/>
    <row r="381" s="75" customFormat="1"/>
    <row r="382" s="75" customFormat="1"/>
    <row r="383" s="75" customFormat="1"/>
    <row r="384" s="75" customFormat="1"/>
    <row r="385" s="75" customFormat="1"/>
    <row r="386" s="75" customFormat="1"/>
    <row r="387" s="75" customFormat="1"/>
    <row r="388" s="75" customFormat="1"/>
    <row r="389" s="75" customFormat="1"/>
    <row r="390" s="75" customFormat="1"/>
    <row r="391" s="75" customFormat="1"/>
    <row r="392" s="75" customFormat="1"/>
    <row r="393" s="75" customFormat="1"/>
    <row r="394" s="75" customFormat="1"/>
    <row r="395" s="75" customFormat="1"/>
    <row r="396" s="75" customFormat="1"/>
    <row r="397" s="75" customFormat="1"/>
    <row r="398" s="75" customFormat="1"/>
    <row r="399" s="75" customFormat="1"/>
    <row r="400" s="75" customFormat="1"/>
    <row r="401" s="75" customFormat="1"/>
    <row r="402" s="75" customFormat="1"/>
    <row r="403" s="75" customFormat="1"/>
    <row r="404" s="75" customFormat="1"/>
    <row r="405" s="75" customFormat="1"/>
    <row r="406" s="75" customFormat="1"/>
    <row r="407" s="75" customFormat="1"/>
    <row r="408" s="75" customFormat="1"/>
    <row r="409" s="75" customFormat="1"/>
    <row r="410" s="75" customFormat="1"/>
    <row r="411" s="75" customFormat="1"/>
    <row r="412" s="75" customFormat="1"/>
    <row r="413" s="75" customFormat="1"/>
    <row r="414" s="75" customFormat="1"/>
    <row r="415" s="75" customFormat="1"/>
    <row r="416" s="75" customFormat="1"/>
    <row r="417" s="75" customFormat="1"/>
    <row r="418" s="75" customFormat="1"/>
    <row r="419" s="75" customFormat="1"/>
    <row r="420" s="75" customFormat="1"/>
    <row r="421" s="75" customFormat="1"/>
    <row r="422" s="75" customFormat="1"/>
    <row r="423" s="75" customFormat="1"/>
    <row r="424" s="75" customFormat="1"/>
    <row r="425" s="75" customFormat="1"/>
    <row r="426" s="75" customFormat="1"/>
    <row r="427" s="75" customFormat="1"/>
    <row r="428" s="75" customFormat="1"/>
    <row r="429" s="75" customFormat="1"/>
    <row r="430" s="75" customFormat="1"/>
    <row r="431" s="75" customFormat="1"/>
    <row r="432" s="75" customFormat="1"/>
    <row r="433" s="75" customFormat="1"/>
    <row r="434" s="75" customFormat="1"/>
    <row r="435" s="75" customFormat="1"/>
    <row r="436" s="75" customFormat="1"/>
    <row r="437" s="75" customFormat="1"/>
    <row r="438" s="75" customFormat="1"/>
    <row r="439" s="75" customFormat="1"/>
    <row r="440" s="75" customFormat="1"/>
    <row r="441" s="75" customFormat="1"/>
    <row r="442" s="75" customFormat="1"/>
    <row r="443" s="75" customFormat="1"/>
    <row r="444" s="75" customFormat="1"/>
    <row r="445" s="75" customFormat="1"/>
    <row r="446" s="75" customFormat="1"/>
    <row r="447" s="75" customFormat="1"/>
    <row r="448" s="75" customFormat="1"/>
    <row r="449" s="75" customFormat="1"/>
    <row r="450" s="75" customFormat="1"/>
    <row r="451" s="75" customFormat="1"/>
    <row r="452" s="75" customFormat="1"/>
    <row r="453" s="75" customFormat="1"/>
    <row r="454" s="75" customFormat="1"/>
    <row r="455" s="75" customFormat="1"/>
    <row r="456" s="75" customFormat="1"/>
    <row r="457" s="75" customFormat="1"/>
    <row r="458" s="75" customFormat="1"/>
    <row r="459" s="75" customFormat="1"/>
    <row r="460" s="75" customFormat="1"/>
    <row r="461" s="75" customFormat="1"/>
    <row r="462" s="75" customFormat="1"/>
    <row r="463" s="75" customFormat="1"/>
    <row r="464" s="75" customFormat="1"/>
    <row r="465" s="75" customFormat="1"/>
    <row r="466" s="75" customFormat="1"/>
    <row r="467" s="75" customFormat="1"/>
    <row r="468" s="75" customFormat="1"/>
    <row r="469" s="75" customFormat="1"/>
    <row r="470" s="75" customFormat="1"/>
    <row r="471" s="75" customFormat="1"/>
    <row r="472" s="75" customFormat="1"/>
    <row r="473" s="75" customFormat="1"/>
    <row r="474" s="75" customFormat="1"/>
    <row r="475" s="75" customFormat="1"/>
    <row r="476" s="75" customFormat="1"/>
    <row r="477" s="75" customFormat="1"/>
    <row r="478" s="75" customFormat="1"/>
    <row r="479" s="75" customFormat="1"/>
    <row r="480" s="75" customFormat="1"/>
    <row r="481" s="75" customFormat="1"/>
    <row r="482" s="75" customFormat="1"/>
    <row r="483" s="75" customFormat="1"/>
    <row r="484" s="75" customFormat="1"/>
    <row r="485" s="75" customFormat="1"/>
    <row r="486" s="75" customFormat="1"/>
    <row r="487" s="75" customFormat="1"/>
    <row r="488" s="75" customFormat="1"/>
    <row r="489" s="75" customFormat="1"/>
    <row r="490" s="75" customFormat="1"/>
    <row r="491" s="75" customFormat="1"/>
    <row r="492" s="75" customFormat="1"/>
    <row r="493" s="75" customFormat="1"/>
    <row r="494" s="75" customFormat="1"/>
    <row r="495" s="75" customFormat="1"/>
    <row r="496" s="75" customFormat="1"/>
    <row r="497" s="75" customFormat="1"/>
    <row r="498" s="75" customFormat="1"/>
    <row r="499" s="75" customFormat="1"/>
    <row r="500" s="75" customFormat="1"/>
    <row r="501" s="75" customFormat="1"/>
    <row r="502" s="75" customFormat="1"/>
    <row r="503" s="75" customFormat="1"/>
    <row r="504" s="75" customFormat="1"/>
    <row r="505" s="75" customFormat="1"/>
    <row r="506" s="75" customFormat="1"/>
    <row r="507" s="75" customFormat="1"/>
    <row r="508" s="75" customFormat="1"/>
    <row r="509" s="75" customFormat="1"/>
    <row r="510" s="75" customFormat="1"/>
    <row r="511" s="75" customFormat="1"/>
    <row r="512" s="75" customFormat="1"/>
    <row r="513" s="75" customFormat="1"/>
    <row r="514" s="75" customFormat="1"/>
    <row r="515" s="75" customFormat="1"/>
    <row r="516" s="75" customFormat="1"/>
    <row r="517" s="75" customFormat="1"/>
    <row r="518" s="75" customFormat="1"/>
    <row r="519" s="75" customFormat="1"/>
    <row r="520" s="75" customFormat="1"/>
    <row r="521" s="75" customFormat="1"/>
    <row r="522" s="75" customFormat="1"/>
    <row r="523" s="75" customFormat="1"/>
    <row r="524" s="75" customFormat="1"/>
    <row r="525" s="75" customFormat="1"/>
    <row r="526" s="75" customFormat="1"/>
    <row r="527" s="75" customFormat="1"/>
    <row r="528" s="75" customFormat="1"/>
    <row r="529" s="75" customFormat="1"/>
    <row r="530" s="75" customFormat="1"/>
    <row r="531" s="75" customFormat="1"/>
    <row r="532" s="75" customFormat="1"/>
    <row r="533" s="75" customFormat="1"/>
    <row r="534" s="75" customFormat="1"/>
    <row r="535" s="75" customFormat="1"/>
    <row r="536" s="75" customFormat="1"/>
    <row r="537" s="75" customFormat="1"/>
    <row r="538" s="75" customFormat="1"/>
    <row r="539" s="75" customFormat="1"/>
    <row r="540" s="75" customFormat="1"/>
    <row r="541" s="75" customFormat="1"/>
    <row r="542" s="75" customFormat="1"/>
    <row r="543" s="75" customFormat="1"/>
    <row r="544" s="75" customFormat="1"/>
    <row r="545" s="75" customFormat="1"/>
    <row r="546" s="75" customFormat="1"/>
    <row r="547" s="75" customFormat="1"/>
    <row r="548" s="75" customFormat="1"/>
    <row r="549" s="75" customFormat="1"/>
    <row r="550" s="75" customFormat="1"/>
    <row r="551" s="75" customFormat="1"/>
    <row r="552" s="75" customFormat="1"/>
    <row r="553" s="75" customFormat="1"/>
    <row r="554" s="75" customFormat="1"/>
    <row r="555" s="75" customFormat="1"/>
    <row r="556" s="75" customFormat="1"/>
    <row r="557" s="75" customFormat="1"/>
    <row r="558" s="75" customFormat="1"/>
    <row r="559" s="75" customFormat="1"/>
    <row r="560" s="75" customFormat="1"/>
    <row r="561" s="75" customFormat="1"/>
    <row r="562" s="75" customFormat="1"/>
    <row r="563" s="75" customFormat="1"/>
    <row r="564" s="75" customFormat="1"/>
    <row r="565" s="75" customFormat="1"/>
    <row r="566" s="75" customFormat="1"/>
    <row r="567" s="75" customFormat="1"/>
    <row r="568" s="75" customFormat="1"/>
    <row r="569" s="75" customFormat="1"/>
    <row r="570" s="75" customFormat="1"/>
    <row r="571" s="75" customFormat="1"/>
    <row r="572" s="75" customFormat="1"/>
    <row r="573" s="75" customFormat="1"/>
    <row r="574" s="75" customFormat="1"/>
    <row r="575" s="75" customFormat="1"/>
    <row r="576" s="75" customFormat="1"/>
    <row r="577" s="75" customFormat="1"/>
    <row r="578" s="75" customFormat="1"/>
    <row r="579" s="75" customFormat="1"/>
    <row r="580" s="75" customFormat="1"/>
    <row r="581" s="75" customFormat="1"/>
    <row r="582" s="75" customFormat="1"/>
    <row r="583" s="75" customFormat="1"/>
    <row r="584" s="75" customFormat="1"/>
    <row r="585" s="75" customFormat="1"/>
    <row r="586" s="75" customFormat="1"/>
    <row r="587" s="75" customFormat="1"/>
    <row r="588" s="75" customFormat="1"/>
    <row r="589" s="75" customFormat="1"/>
    <row r="590" s="75" customFormat="1"/>
    <row r="591" s="75" customFormat="1"/>
    <row r="592" s="75" customFormat="1"/>
    <row r="593" s="75" customFormat="1"/>
    <row r="594" s="75" customFormat="1"/>
    <row r="595" s="75" customFormat="1"/>
    <row r="596" s="75" customFormat="1"/>
    <row r="597" s="75" customFormat="1"/>
    <row r="598" s="75" customFormat="1"/>
    <row r="599" s="75" customFormat="1"/>
    <row r="600" s="75" customFormat="1"/>
    <row r="601" s="75" customFormat="1"/>
    <row r="602" s="75" customFormat="1"/>
    <row r="603" s="75" customFormat="1"/>
    <row r="604" s="75" customFormat="1"/>
    <row r="605" s="75" customFormat="1"/>
    <row r="606" s="75" customFormat="1"/>
    <row r="607" s="75" customFormat="1"/>
    <row r="608" s="75" customFormat="1"/>
    <row r="609" s="75" customFormat="1"/>
    <row r="610" s="75" customFormat="1"/>
    <row r="611" s="75" customFormat="1"/>
    <row r="612" s="75" customFormat="1"/>
    <row r="613" s="75" customFormat="1"/>
    <row r="614" s="75" customFormat="1"/>
    <row r="615" s="75" customFormat="1"/>
    <row r="616" s="75" customFormat="1"/>
    <row r="617" s="75" customFormat="1"/>
    <row r="618" s="75" customFormat="1"/>
    <row r="619" s="75" customFormat="1"/>
    <row r="620" s="75" customFormat="1"/>
    <row r="621" s="75" customFormat="1"/>
    <row r="622" s="75" customFormat="1"/>
    <row r="623" s="75" customFormat="1"/>
    <row r="624" s="75" customFormat="1"/>
    <row r="625" s="75" customFormat="1"/>
    <row r="626" s="75" customFormat="1"/>
    <row r="627" s="75" customFormat="1"/>
    <row r="628" s="75" customFormat="1"/>
    <row r="629" s="75" customFormat="1"/>
    <row r="630" s="75" customFormat="1"/>
    <row r="631" s="75" customFormat="1"/>
    <row r="632" s="75" customFormat="1"/>
    <row r="633" s="75" customFormat="1"/>
    <row r="634" s="75" customFormat="1"/>
    <row r="635" s="75" customFormat="1"/>
  </sheetData>
  <sheetProtection algorithmName="SHA-512" hashValue="FVnhRzJLazHfwVPlT0xmZb+KhMWdpbj7SsYW1AIFuDNcacl/zTxvizKLkxCI2SnvNMvyFvpy+lv38ZhiiWrmgA==" saltValue="PZbc+H4NEFBrDhfrwxJl0A==" spinCount="100000" sheet="1" objects="1" scenarios="1"/>
  <mergeCells count="13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s>
  <phoneticPr fontId="11" type="noConversion"/>
  <printOptions horizontalCentered="1" vertic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30</vt:i4>
      </vt:variant>
      <vt:variant>
        <vt:lpstr>Pojmenované oblasti</vt:lpstr>
      </vt:variant>
      <vt:variant>
        <vt:i4>30</vt:i4>
      </vt:variant>
    </vt:vector>
  </HeadingPairs>
  <TitlesOfParts>
    <vt:vector size="60"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SP1</vt:lpstr>
      <vt:lpstr>SP2</vt:lpstr>
      <vt:lpstr>SP_zam</vt:lpstr>
      <vt:lpstr>SP_stud</vt:lpstr>
      <vt:lpstr>SP_prijem</vt:lpstr>
      <vt:lpstr>VZP</vt:lpstr>
      <vt:lpstr>Ostatní ZP</vt:lpstr>
      <vt:lpstr>Zálohy</vt:lpstr>
      <vt:lpstr>fin_ur</vt:lpstr>
      <vt:lpstr>'1Př1'!Oblast_tisku</vt:lpstr>
      <vt:lpstr>'1Př2'!Oblast_tisku</vt:lpstr>
      <vt:lpstr>'2Př'!Oblast_tisku</vt:lpstr>
      <vt:lpstr>'3Př'!Oblast_tisku</vt:lpstr>
      <vt:lpstr>'3Př_a'!Oblast_tisku</vt:lpstr>
      <vt:lpstr>'4Př'!Oblast_tisku</vt:lpstr>
      <vt:lpstr>'6Př'!Oblast_tisku</vt:lpstr>
      <vt:lpstr>'DAP1'!Oblast_tisku</vt:lpstr>
      <vt:lpstr>'DAP2'!Oblast_tisku</vt:lpstr>
      <vt:lpstr>'DAP3'!Oblast_tisku</vt:lpstr>
      <vt:lpstr>'DAP4'!Oblast_tisku</vt:lpstr>
      <vt:lpstr>'Moje daně'!Oblast_tisku</vt:lpstr>
      <vt:lpstr>'Ostatní ZP'!Oblast_tisku</vt:lpstr>
      <vt:lpstr>Potvr_ZAM!Oblast_tisku</vt:lpstr>
      <vt:lpstr>Prohl_manž!Oblast_tisku</vt:lpstr>
      <vt:lpstr>Př_b!Oblast_tisku</vt:lpstr>
      <vt:lpstr>Příl_děti!Oblast_tisku</vt:lpstr>
      <vt:lpstr>SP_prijem!Oblast_tisku</vt:lpstr>
      <vt:lpstr>SP_stud!Oblast_tisku</vt:lpstr>
      <vt:lpstr>SP_zam!Oblast_tisku</vt:lpstr>
      <vt:lpstr>'SP1'!Oblast_tisku</vt:lpstr>
      <vt:lpstr>'SP2'!Oblast_tisku</vt:lpstr>
      <vt:lpstr>UVOD!Oblast_tisku</vt:lpstr>
      <vt:lpstr>VZP!Oblast_tisku</vt:lpstr>
      <vt:lpstr>XML_export!Oblast_tisku</vt:lpstr>
      <vt:lpstr>ZAKL_DATA!Oblast_tisku</vt:lpstr>
      <vt:lpstr>Zálohy!Oblast_tisku</vt:lpstr>
      <vt:lpstr>ZAV!Oblast_tisku</vt:lpstr>
      <vt:lpstr>staty</vt:lpstr>
    </vt:vector>
  </TitlesOfParts>
  <Company>Aspekt HM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25.2.2002</dc:subject>
  <dc:creator>Martin Štěpán</dc:creator>
  <cp:lastModifiedBy>Martin Štěpán</cp:lastModifiedBy>
  <cp:lastPrinted>2023-01-05T15:49:49Z</cp:lastPrinted>
  <dcterms:created xsi:type="dcterms:W3CDTF">2000-01-30T17:10:20Z</dcterms:created>
  <dcterms:modified xsi:type="dcterms:W3CDTF">2025-01-07T13:20:01Z</dcterms:modified>
</cp:coreProperties>
</file>